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3"/>
  </bookViews>
  <sheets>
    <sheet name="Average IL-8 conc." sheetId="1" r:id="rId1"/>
    <sheet name="D-E curve" sheetId="2" r:id="rId2"/>
    <sheet name="Calculation" sheetId="3" r:id="rId3"/>
    <sheet name="Alamar blue" sheetId="4" r:id="rId4"/>
  </sheets>
  <externalReferences>
    <externalReference r:id="rId7"/>
  </externalReferences>
  <definedNames/>
  <calcPr fullCalcOnLoad="1"/>
</workbook>
</file>

<file path=xl/comments3.xml><?xml version="1.0" encoding="utf-8"?>
<comments xmlns="http://schemas.openxmlformats.org/spreadsheetml/2006/main">
  <authors>
    <author>Moleculaire Farmacologie</author>
    <author> Wilfred Poppinga</author>
  </authors>
  <commentList>
    <comment ref="C3" authorId="0">
      <text>
        <r>
          <rPr>
            <sz val="8"/>
            <rFont val="Tahoma"/>
            <family val="0"/>
          </rPr>
          <t>Raw Data Report from file Plate1. Exported from Microplate Manager 5.0 from Bio-Rad Laboratories, Inc.</t>
        </r>
      </text>
    </comment>
    <comment ref="G22" authorId="1">
      <text>
        <r>
          <rPr>
            <b/>
            <sz val="8"/>
            <rFont val="Tahoma"/>
            <family val="0"/>
          </rPr>
          <t xml:space="preserve"> Wilfred Poppinga:</t>
        </r>
        <r>
          <rPr>
            <sz val="8"/>
            <rFont val="Tahoma"/>
            <family val="0"/>
          </rPr>
          <t xml:space="preserve">
Should be the same as in graph standard curve. R2 should be 0.99-1.00.</t>
        </r>
      </text>
    </comment>
    <comment ref="A1" authorId="1">
      <text>
        <r>
          <rPr>
            <b/>
            <sz val="8"/>
            <rFont val="Tahoma"/>
            <family val="0"/>
          </rPr>
          <t xml:space="preserve"> Wilfred Poppinga:</t>
        </r>
        <r>
          <rPr>
            <sz val="8"/>
            <rFont val="Tahoma"/>
            <family val="0"/>
          </rPr>
          <t xml:space="preserve">
Only required to add ALAMAR BLUE viability staining and ELISA results. REPLACE RED CHARACTERS WHERE NECESSARY.</t>
        </r>
      </text>
    </comment>
    <comment ref="F1" authorId="1">
      <text>
        <r>
          <rPr>
            <b/>
            <sz val="8"/>
            <rFont val="Tahoma"/>
            <family val="0"/>
          </rPr>
          <t xml:space="preserve"> Wilfred Poppinga:</t>
        </r>
        <r>
          <rPr>
            <sz val="8"/>
            <rFont val="Tahoma"/>
            <family val="0"/>
          </rPr>
          <t xml:space="preserve">
200 uM</t>
        </r>
      </text>
    </comment>
  </commentList>
</comments>
</file>

<file path=xl/sharedStrings.xml><?xml version="1.0" encoding="utf-8"?>
<sst xmlns="http://schemas.openxmlformats.org/spreadsheetml/2006/main" count="173" uniqueCount="85">
  <si>
    <t>CTR</t>
  </si>
  <si>
    <t>A</t>
  </si>
  <si>
    <t>CSE</t>
  </si>
  <si>
    <t>B</t>
  </si>
  <si>
    <t>CSE+8-p</t>
  </si>
  <si>
    <t>C</t>
  </si>
  <si>
    <t>CSE+Bnz</t>
  </si>
  <si>
    <t>D</t>
  </si>
  <si>
    <t>E</t>
  </si>
  <si>
    <t>F</t>
  </si>
  <si>
    <t>G</t>
  </si>
  <si>
    <t>H</t>
  </si>
  <si>
    <t>STND</t>
  </si>
  <si>
    <t>pg/ml</t>
  </si>
  <si>
    <t>pg/mL</t>
  </si>
  <si>
    <t>aver OD</t>
  </si>
  <si>
    <t>Aver Il-8</t>
  </si>
  <si>
    <t>Dilu</t>
  </si>
  <si>
    <t>alamar blue</t>
  </si>
  <si>
    <t>% to control</t>
  </si>
  <si>
    <t>Corrected</t>
  </si>
  <si>
    <t>Average</t>
  </si>
  <si>
    <t>Average corrected</t>
  </si>
  <si>
    <t>St. dev</t>
  </si>
  <si>
    <t>Plate</t>
  </si>
  <si>
    <t>Repeat</t>
  </si>
  <si>
    <t>Well</t>
  </si>
  <si>
    <t>Type</t>
  </si>
  <si>
    <t>Time</t>
  </si>
  <si>
    <t>AlamarBlue (Counts)</t>
  </si>
  <si>
    <t>Curve</t>
  </si>
  <si>
    <t>Average Absorbance (450 nm)</t>
  </si>
  <si>
    <t>Y = Ax + B</t>
  </si>
  <si>
    <t xml:space="preserve">Intersection </t>
  </si>
  <si>
    <t>X</t>
  </si>
  <si>
    <t>Y</t>
  </si>
  <si>
    <t>Slope</t>
  </si>
  <si>
    <t>ELISA</t>
  </si>
  <si>
    <t>IL-8 Conc. pg/mL</t>
  </si>
  <si>
    <t>R square</t>
  </si>
  <si>
    <t>HT31basal</t>
  </si>
  <si>
    <t>HT31P D/E curve</t>
  </si>
  <si>
    <t>ht31p curve d9</t>
  </si>
  <si>
    <t>A01</t>
  </si>
  <si>
    <t>M</t>
  </si>
  <si>
    <t>A02</t>
  </si>
  <si>
    <t>A03</t>
  </si>
  <si>
    <t>A04</t>
  </si>
  <si>
    <t>A05</t>
  </si>
  <si>
    <t>A06</t>
  </si>
  <si>
    <t>B01</t>
  </si>
  <si>
    <t>B02</t>
  </si>
  <si>
    <t>B03</t>
  </si>
  <si>
    <t>B04</t>
  </si>
  <si>
    <t>B05</t>
  </si>
  <si>
    <t>B06</t>
  </si>
  <si>
    <t>C01</t>
  </si>
  <si>
    <t>C02</t>
  </si>
  <si>
    <t>C03</t>
  </si>
  <si>
    <t>C04</t>
  </si>
  <si>
    <t>C05</t>
  </si>
  <si>
    <t>C06</t>
  </si>
  <si>
    <t>D01</t>
  </si>
  <si>
    <t>D02</t>
  </si>
  <si>
    <t>D03</t>
  </si>
  <si>
    <t>D04</t>
  </si>
  <si>
    <t>D05</t>
  </si>
  <si>
    <t>D06</t>
  </si>
  <si>
    <t>Ht31 Basal d9</t>
  </si>
  <si>
    <t>BASAL</t>
  </si>
  <si>
    <t>DONOR#9</t>
  </si>
  <si>
    <r>
      <t>S</t>
    </r>
    <r>
      <rPr>
        <sz val="8"/>
        <color indexed="10"/>
        <rFont val="Arial"/>
        <family val="2"/>
      </rPr>
      <t>0</t>
    </r>
  </si>
  <si>
    <t>Dose effect curve IL-8 ( pg/ml)</t>
  </si>
  <si>
    <t>Conc. Curv Ht31P</t>
  </si>
  <si>
    <t>Dose effect curve IL-8 (%)</t>
  </si>
  <si>
    <t>pg/mL IL-8</t>
  </si>
  <si>
    <t>pg/mL IL-8 corrected for Alamar Blue</t>
  </si>
  <si>
    <t xml:space="preserve">Ht31P D/E </t>
  </si>
  <si>
    <t>Ht31 Basal</t>
  </si>
  <si>
    <t>% corrected for Alamar Blue</t>
  </si>
  <si>
    <t>pg/mL IL-8 correct for dilution</t>
  </si>
  <si>
    <t>Ht31P D/E  %</t>
  </si>
  <si>
    <t>\</t>
  </si>
  <si>
    <t>IL-8 conc</t>
  </si>
  <si>
    <t>%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</si>
</sst>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hh\:mm\:ss.00"/>
    <numFmt numFmtId="173" formatCode="#0"/>
    <numFmt numFmtId="174" formatCode="0.000"/>
    <numFmt numFmtId="175" formatCode="0.0"/>
    <numFmt numFmtId="176" formatCode="0.00000"/>
    <numFmt numFmtId="177" formatCode="0.0000"/>
    <numFmt numFmtId="178" formatCode="#0.0"/>
    <numFmt numFmtId="179" formatCode="#0.00"/>
    <numFmt numFmtId="180" formatCode="0.0%"/>
  </numFmts>
  <fonts count="20">
    <font>
      <sz val="10"/>
      <name val="Arial"/>
      <family val="0"/>
    </font>
    <font>
      <sz val="8"/>
      <name val="Tahoma"/>
      <family val="0"/>
    </font>
    <font>
      <sz val="10"/>
      <color indexed="9"/>
      <name val="Arial"/>
      <family val="0"/>
    </font>
    <font>
      <b/>
      <sz val="8"/>
      <color indexed="9"/>
      <name val="Arial"/>
      <family val="0"/>
    </font>
    <font>
      <sz val="9.75"/>
      <name val="Arial"/>
      <family val="0"/>
    </font>
    <font>
      <sz val="10"/>
      <color indexed="10"/>
      <name val="Arial"/>
      <family val="0"/>
    </font>
    <font>
      <sz val="10"/>
      <name val="ZapfDingbats"/>
      <family val="5"/>
    </font>
    <font>
      <b/>
      <sz val="10"/>
      <name val="Arial"/>
      <family val="2"/>
    </font>
    <font>
      <b/>
      <sz val="12"/>
      <name val="Arial"/>
      <family val="0"/>
    </font>
    <font>
      <b/>
      <sz val="12"/>
      <color indexed="10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vertAlign val="superscript"/>
      <sz val="8"/>
      <name val="Arial"/>
      <family val="0"/>
    </font>
    <font>
      <b/>
      <sz val="11.75"/>
      <color indexed="10"/>
      <name val="Arial"/>
      <family val="2"/>
    </font>
    <font>
      <b/>
      <sz val="8.5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lightTrellis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5" fontId="0" fillId="2" borderId="5" xfId="0" applyNumberFormat="1" applyFill="1" applyBorder="1" applyAlignment="1">
      <alignment/>
    </xf>
    <xf numFmtId="175" fontId="0" fillId="2" borderId="6" xfId="0" applyNumberFormat="1" applyFill="1" applyBorder="1" applyAlignment="1">
      <alignment/>
    </xf>
    <xf numFmtId="175" fontId="0" fillId="2" borderId="7" xfId="0" applyNumberFormat="1" applyFill="1" applyBorder="1" applyAlignment="1">
      <alignment/>
    </xf>
    <xf numFmtId="175" fontId="0" fillId="2" borderId="8" xfId="0" applyNumberFormat="1" applyFill="1" applyBorder="1" applyAlignment="1">
      <alignment/>
    </xf>
    <xf numFmtId="175" fontId="0" fillId="2" borderId="9" xfId="0" applyNumberFormat="1" applyFill="1" applyBorder="1" applyAlignment="1">
      <alignment/>
    </xf>
    <xf numFmtId="175" fontId="0" fillId="2" borderId="10" xfId="0" applyNumberFormat="1" applyFill="1" applyBorder="1" applyAlignment="1">
      <alignment/>
    </xf>
    <xf numFmtId="175" fontId="0" fillId="3" borderId="7" xfId="0" applyNumberFormat="1" applyFill="1" applyBorder="1" applyAlignment="1">
      <alignment/>
    </xf>
    <xf numFmtId="175" fontId="0" fillId="3" borderId="8" xfId="0" applyNumberFormat="1" applyFill="1" applyBorder="1" applyAlignment="1">
      <alignment/>
    </xf>
    <xf numFmtId="175" fontId="0" fillId="3" borderId="9" xfId="0" applyNumberFormat="1" applyFill="1" applyBorder="1" applyAlignment="1">
      <alignment/>
    </xf>
    <xf numFmtId="175" fontId="0" fillId="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4" borderId="0" xfId="0" applyFont="1" applyFill="1" applyAlignment="1">
      <alignment/>
    </xf>
    <xf numFmtId="172" fontId="3" fillId="4" borderId="0" xfId="0" applyNumberFormat="1" applyFont="1" applyFill="1" applyAlignment="1">
      <alignment/>
    </xf>
    <xf numFmtId="173" fontId="3" fillId="4" borderId="0" xfId="0" applyNumberFormat="1" applyFont="1" applyFill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3" fontId="0" fillId="5" borderId="6" xfId="0" applyNumberFormat="1" applyFill="1" applyBorder="1" applyAlignment="1">
      <alignment/>
    </xf>
    <xf numFmtId="175" fontId="0" fillId="5" borderId="7" xfId="0" applyNumberFormat="1" applyFill="1" applyBorder="1" applyAlignment="1">
      <alignment/>
    </xf>
    <xf numFmtId="175" fontId="0" fillId="5" borderId="5" xfId="0" applyNumberFormat="1" applyFill="1" applyBorder="1" applyAlignment="1">
      <alignment/>
    </xf>
    <xf numFmtId="175" fontId="0" fillId="5" borderId="9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6" borderId="15" xfId="0" applyFill="1" applyBorder="1" applyAlignment="1">
      <alignment/>
    </xf>
    <xf numFmtId="175" fontId="0" fillId="6" borderId="7" xfId="0" applyNumberFormat="1" applyFill="1" applyBorder="1" applyAlignment="1">
      <alignment/>
    </xf>
    <xf numFmtId="0" fontId="0" fillId="6" borderId="16" xfId="0" applyFill="1" applyBorder="1" applyAlignment="1">
      <alignment/>
    </xf>
    <xf numFmtId="175" fontId="0" fillId="6" borderId="9" xfId="0" applyNumberFormat="1" applyFill="1" applyBorder="1" applyAlignment="1">
      <alignment/>
    </xf>
    <xf numFmtId="0" fontId="0" fillId="3" borderId="17" xfId="0" applyFill="1" applyBorder="1" applyAlignment="1">
      <alignment/>
    </xf>
    <xf numFmtId="175" fontId="0" fillId="3" borderId="18" xfId="0" applyNumberFormat="1" applyFill="1" applyBorder="1" applyAlignment="1">
      <alignment/>
    </xf>
    <xf numFmtId="175" fontId="0" fillId="3" borderId="19" xfId="0" applyNumberFormat="1" applyFill="1" applyBorder="1" applyAlignment="1">
      <alignment/>
    </xf>
    <xf numFmtId="0" fontId="0" fillId="6" borderId="17" xfId="0" applyFill="1" applyBorder="1" applyAlignment="1">
      <alignment/>
    </xf>
    <xf numFmtId="175" fontId="0" fillId="6" borderId="18" xfId="0" applyNumberForma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7" xfId="0" applyBorder="1" applyAlignment="1">
      <alignment/>
    </xf>
    <xf numFmtId="177" fontId="0" fillId="0" borderId="7" xfId="0" applyNumberFormat="1" applyBorder="1" applyAlignment="1">
      <alignment/>
    </xf>
    <xf numFmtId="2" fontId="0" fillId="7" borderId="7" xfId="0" applyNumberFormat="1" applyFill="1" applyBorder="1" applyAlignment="1">
      <alignment/>
    </xf>
    <xf numFmtId="0" fontId="0" fillId="8" borderId="7" xfId="0" applyFill="1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9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5" fontId="0" fillId="7" borderId="7" xfId="0" applyNumberFormat="1" applyFill="1" applyBorder="1" applyAlignment="1">
      <alignment/>
    </xf>
    <xf numFmtId="173" fontId="5" fillId="2" borderId="23" xfId="0" applyNumberFormat="1" applyFont="1" applyFill="1" applyBorder="1" applyAlignment="1">
      <alignment/>
    </xf>
    <xf numFmtId="173" fontId="5" fillId="2" borderId="24" xfId="0" applyNumberFormat="1" applyFont="1" applyFill="1" applyBorder="1" applyAlignment="1">
      <alignment/>
    </xf>
    <xf numFmtId="173" fontId="5" fillId="2" borderId="25" xfId="0" applyNumberFormat="1" applyFont="1" applyFill="1" applyBorder="1" applyAlignment="1">
      <alignment/>
    </xf>
    <xf numFmtId="173" fontId="5" fillId="2" borderId="26" xfId="0" applyNumberFormat="1" applyFont="1" applyFill="1" applyBorder="1" applyAlignment="1">
      <alignment/>
    </xf>
    <xf numFmtId="173" fontId="5" fillId="2" borderId="27" xfId="0" applyNumberFormat="1" applyFont="1" applyFill="1" applyBorder="1" applyAlignment="1">
      <alignment/>
    </xf>
    <xf numFmtId="173" fontId="5" fillId="2" borderId="28" xfId="0" applyNumberFormat="1" applyFont="1" applyFill="1" applyBorder="1" applyAlignment="1">
      <alignment/>
    </xf>
    <xf numFmtId="173" fontId="5" fillId="10" borderId="23" xfId="0" applyNumberFormat="1" applyFont="1" applyFill="1" applyBorder="1" applyAlignment="1">
      <alignment/>
    </xf>
    <xf numFmtId="173" fontId="5" fillId="10" borderId="24" xfId="0" applyNumberFormat="1" applyFont="1" applyFill="1" applyBorder="1" applyAlignment="1">
      <alignment/>
    </xf>
    <xf numFmtId="173" fontId="5" fillId="10" borderId="25" xfId="0" applyNumberFormat="1" applyFont="1" applyFill="1" applyBorder="1" applyAlignment="1">
      <alignment/>
    </xf>
    <xf numFmtId="173" fontId="5" fillId="10" borderId="26" xfId="0" applyNumberFormat="1" applyFont="1" applyFill="1" applyBorder="1" applyAlignment="1">
      <alignment/>
    </xf>
    <xf numFmtId="173" fontId="5" fillId="10" borderId="27" xfId="0" applyNumberFormat="1" applyFont="1" applyFill="1" applyBorder="1" applyAlignment="1">
      <alignment/>
    </xf>
    <xf numFmtId="173" fontId="5" fillId="10" borderId="28" xfId="0" applyNumberFormat="1" applyFont="1" applyFill="1" applyBorder="1" applyAlignment="1">
      <alignment/>
    </xf>
    <xf numFmtId="0" fontId="0" fillId="6" borderId="14" xfId="0" applyFill="1" applyBorder="1" applyAlignment="1">
      <alignment/>
    </xf>
    <xf numFmtId="173" fontId="0" fillId="6" borderId="6" xfId="0" applyNumberFormat="1" applyFill="1" applyBorder="1" applyAlignment="1">
      <alignment/>
    </xf>
    <xf numFmtId="173" fontId="0" fillId="0" borderId="0" xfId="0" applyNumberFormat="1" applyAlignment="1">
      <alignment/>
    </xf>
    <xf numFmtId="174" fontId="5" fillId="10" borderId="29" xfId="0" applyNumberFormat="1" applyFont="1" applyFill="1" applyBorder="1" applyAlignment="1">
      <alignment/>
    </xf>
    <xf numFmtId="174" fontId="5" fillId="10" borderId="27" xfId="0" applyNumberFormat="1" applyFont="1" applyFill="1" applyBorder="1" applyAlignment="1">
      <alignment/>
    </xf>
    <xf numFmtId="174" fontId="5" fillId="10" borderId="28" xfId="0" applyNumberFormat="1" applyFont="1" applyFill="1" applyBorder="1" applyAlignment="1">
      <alignment/>
    </xf>
    <xf numFmtId="174" fontId="5" fillId="11" borderId="29" xfId="0" applyNumberFormat="1" applyFont="1" applyFill="1" applyBorder="1" applyAlignment="1">
      <alignment/>
    </xf>
    <xf numFmtId="174" fontId="5" fillId="7" borderId="29" xfId="0" applyNumberFormat="1" applyFont="1" applyFill="1" applyBorder="1" applyAlignment="1">
      <alignment/>
    </xf>
    <xf numFmtId="174" fontId="5" fillId="7" borderId="27" xfId="0" applyNumberFormat="1" applyFont="1" applyFill="1" applyBorder="1" applyAlignment="1">
      <alignment/>
    </xf>
    <xf numFmtId="174" fontId="5" fillId="7" borderId="28" xfId="0" applyNumberFormat="1" applyFont="1" applyFill="1" applyBorder="1" applyAlignment="1">
      <alignment/>
    </xf>
    <xf numFmtId="174" fontId="2" fillId="0" borderId="27" xfId="0" applyNumberFormat="1" applyFont="1" applyBorder="1" applyAlignment="1">
      <alignment/>
    </xf>
    <xf numFmtId="174" fontId="2" fillId="0" borderId="28" xfId="0" applyNumberFormat="1" applyFont="1" applyBorder="1" applyAlignment="1">
      <alignment/>
    </xf>
    <xf numFmtId="174" fontId="11" fillId="2" borderId="29" xfId="0" applyNumberFormat="1" applyFont="1" applyFill="1" applyBorder="1" applyAlignment="1">
      <alignment/>
    </xf>
    <xf numFmtId="174" fontId="11" fillId="2" borderId="27" xfId="0" applyNumberFormat="1" applyFont="1" applyFill="1" applyBorder="1" applyAlignment="1">
      <alignment/>
    </xf>
    <xf numFmtId="174" fontId="11" fillId="2" borderId="28" xfId="0" applyNumberFormat="1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ill="1" applyAlignment="1">
      <alignment horizontal="center"/>
    </xf>
    <xf numFmtId="174" fontId="5" fillId="2" borderId="29" xfId="0" applyNumberFormat="1" applyFont="1" applyFill="1" applyBorder="1" applyAlignment="1">
      <alignment/>
    </xf>
    <xf numFmtId="174" fontId="5" fillId="2" borderId="27" xfId="0" applyNumberFormat="1" applyFont="1" applyFill="1" applyBorder="1" applyAlignment="1">
      <alignment/>
    </xf>
    <xf numFmtId="174" fontId="5" fillId="2" borderId="28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9" fontId="5" fillId="2" borderId="23" xfId="0" applyNumberFormat="1" applyFont="1" applyFill="1" applyBorder="1" applyAlignment="1">
      <alignment/>
    </xf>
    <xf numFmtId="174" fontId="0" fillId="2" borderId="5" xfId="0" applyNumberFormat="1" applyFill="1" applyBorder="1" applyAlignment="1">
      <alignment/>
    </xf>
    <xf numFmtId="174" fontId="0" fillId="2" borderId="7" xfId="0" applyNumberFormat="1" applyFill="1" applyBorder="1" applyAlignment="1">
      <alignment/>
    </xf>
    <xf numFmtId="174" fontId="0" fillId="2" borderId="9" xfId="0" applyNumberFormat="1" applyFill="1" applyBorder="1" applyAlignment="1">
      <alignment/>
    </xf>
    <xf numFmtId="174" fontId="0" fillId="3" borderId="18" xfId="0" applyNumberFormat="1" applyFill="1" applyBorder="1" applyAlignment="1">
      <alignment/>
    </xf>
    <xf numFmtId="174" fontId="0" fillId="3" borderId="7" xfId="0" applyNumberFormat="1" applyFill="1" applyBorder="1" applyAlignment="1">
      <alignment/>
    </xf>
    <xf numFmtId="174" fontId="0" fillId="3" borderId="9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10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0" xfId="0" applyFont="1" applyFill="1" applyAlignment="1">
      <alignment horizontal="center"/>
    </xf>
    <xf numFmtId="0" fontId="0" fillId="10" borderId="35" xfId="0" applyFill="1" applyBorder="1" applyAlignment="1">
      <alignment/>
    </xf>
    <xf numFmtId="175" fontId="0" fillId="10" borderId="7" xfId="0" applyNumberFormat="1" applyFill="1" applyBorder="1" applyAlignment="1">
      <alignment/>
    </xf>
    <xf numFmtId="2" fontId="0" fillId="10" borderId="7" xfId="0" applyNumberFormat="1" applyFill="1" applyBorder="1" applyAlignment="1">
      <alignment/>
    </xf>
    <xf numFmtId="180" fontId="0" fillId="10" borderId="7" xfId="0" applyNumberFormat="1" applyFill="1" applyBorder="1" applyAlignment="1">
      <alignment/>
    </xf>
    <xf numFmtId="180" fontId="2" fillId="12" borderId="7" xfId="0" applyNumberFormat="1" applyFont="1" applyFill="1" applyBorder="1" applyAlignment="1">
      <alignment/>
    </xf>
    <xf numFmtId="180" fontId="0" fillId="12" borderId="7" xfId="0" applyNumberFormat="1" applyFill="1" applyBorder="1" applyAlignment="1">
      <alignment/>
    </xf>
    <xf numFmtId="175" fontId="0" fillId="10" borderId="8" xfId="0" applyNumberFormat="1" applyFill="1" applyBorder="1" applyAlignment="1">
      <alignment/>
    </xf>
    <xf numFmtId="180" fontId="0" fillId="12" borderId="8" xfId="0" applyNumberFormat="1" applyFill="1" applyBorder="1" applyAlignment="1">
      <alignment/>
    </xf>
    <xf numFmtId="180" fontId="2" fillId="12" borderId="9" xfId="0" applyNumberFormat="1" applyFont="1" applyFill="1" applyBorder="1" applyAlignment="1">
      <alignment/>
    </xf>
    <xf numFmtId="180" fontId="0" fillId="12" borderId="9" xfId="0" applyNumberFormat="1" applyFill="1" applyBorder="1" applyAlignment="1">
      <alignment/>
    </xf>
    <xf numFmtId="180" fontId="0" fillId="12" borderId="10" xfId="0" applyNumberFormat="1" applyFill="1" applyBorder="1" applyAlignment="1">
      <alignment/>
    </xf>
    <xf numFmtId="180" fontId="2" fillId="12" borderId="8" xfId="0" applyNumberFormat="1" applyFont="1" applyFill="1" applyBorder="1" applyAlignment="1">
      <alignment/>
    </xf>
    <xf numFmtId="180" fontId="2" fillId="12" borderId="10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4" xfId="0" applyFont="1" applyFill="1" applyBorder="1" applyAlignment="1">
      <alignment horizontal="center" wrapText="1"/>
    </xf>
    <xf numFmtId="175" fontId="0" fillId="10" borderId="36" xfId="0" applyNumberFormat="1" applyFill="1" applyBorder="1" applyAlignment="1">
      <alignment/>
    </xf>
    <xf numFmtId="175" fontId="0" fillId="10" borderId="37" xfId="0" applyNumberFormat="1" applyFill="1" applyBorder="1" applyAlignment="1">
      <alignment/>
    </xf>
    <xf numFmtId="175" fontId="0" fillId="10" borderId="18" xfId="0" applyNumberFormat="1" applyFill="1" applyBorder="1" applyAlignment="1">
      <alignment/>
    </xf>
    <xf numFmtId="175" fontId="0" fillId="10" borderId="19" xfId="0" applyNumberFormat="1" applyFill="1" applyBorder="1" applyAlignment="1">
      <alignment/>
    </xf>
    <xf numFmtId="2" fontId="0" fillId="10" borderId="18" xfId="0" applyNumberFormat="1" applyFill="1" applyBorder="1" applyAlignment="1">
      <alignment/>
    </xf>
    <xf numFmtId="180" fontId="0" fillId="10" borderId="18" xfId="0" applyNumberFormat="1" applyFill="1" applyBorder="1" applyAlignment="1">
      <alignment/>
    </xf>
    <xf numFmtId="180" fontId="0" fillId="12" borderId="36" xfId="0" applyNumberFormat="1" applyFill="1" applyBorder="1" applyAlignment="1">
      <alignment/>
    </xf>
    <xf numFmtId="180" fontId="0" fillId="12" borderId="38" xfId="0" applyNumberFormat="1" applyFill="1" applyBorder="1" applyAlignment="1">
      <alignment/>
    </xf>
    <xf numFmtId="180" fontId="0" fillId="0" borderId="3" xfId="0" applyNumberFormat="1" applyFill="1" applyBorder="1" applyAlignment="1">
      <alignment/>
    </xf>
    <xf numFmtId="0" fontId="0" fillId="12" borderId="32" xfId="0" applyFill="1" applyBorder="1" applyAlignment="1">
      <alignment/>
    </xf>
    <xf numFmtId="0" fontId="0" fillId="12" borderId="39" xfId="0" applyFill="1" applyBorder="1" applyAlignment="1">
      <alignment/>
    </xf>
    <xf numFmtId="175" fontId="0" fillId="10" borderId="17" xfId="0" applyNumberFormat="1" applyFill="1" applyBorder="1" applyAlignment="1">
      <alignment/>
    </xf>
    <xf numFmtId="175" fontId="0" fillId="10" borderId="15" xfId="0" applyNumberFormat="1" applyFill="1" applyBorder="1" applyAlignment="1">
      <alignment/>
    </xf>
    <xf numFmtId="180" fontId="2" fillId="12" borderId="15" xfId="0" applyNumberFormat="1" applyFont="1" applyFill="1" applyBorder="1" applyAlignment="1">
      <alignment/>
    </xf>
    <xf numFmtId="180" fontId="2" fillId="12" borderId="16" xfId="0" applyNumberFormat="1" applyFont="1" applyFill="1" applyBorder="1" applyAlignment="1">
      <alignment/>
    </xf>
    <xf numFmtId="2" fontId="0" fillId="10" borderId="17" xfId="0" applyNumberFormat="1" applyFill="1" applyBorder="1" applyAlignment="1">
      <alignment/>
    </xf>
    <xf numFmtId="180" fontId="0" fillId="10" borderId="19" xfId="0" applyNumberFormat="1" applyFill="1" applyBorder="1" applyAlignment="1">
      <alignment/>
    </xf>
    <xf numFmtId="2" fontId="0" fillId="10" borderId="15" xfId="0" applyNumberFormat="1" applyFill="1" applyBorder="1" applyAlignment="1">
      <alignment/>
    </xf>
    <xf numFmtId="180" fontId="0" fillId="10" borderId="8" xfId="0" applyNumberFormat="1" applyFill="1" applyBorder="1" applyAlignment="1">
      <alignment/>
    </xf>
    <xf numFmtId="180" fontId="0" fillId="0" borderId="34" xfId="0" applyNumberFormat="1" applyFill="1" applyBorder="1" applyAlignment="1">
      <alignment/>
    </xf>
    <xf numFmtId="180" fontId="0" fillId="0" borderId="40" xfId="0" applyNumberFormat="1" applyFill="1" applyBorder="1" applyAlignment="1">
      <alignment/>
    </xf>
    <xf numFmtId="0" fontId="0" fillId="0" borderId="41" xfId="0" applyBorder="1" applyAlignment="1">
      <alignment/>
    </xf>
    <xf numFmtId="180" fontId="0" fillId="10" borderId="37" xfId="0" applyNumberFormat="1" applyFill="1" applyBorder="1" applyAlignment="1">
      <alignment/>
    </xf>
    <xf numFmtId="180" fontId="0" fillId="10" borderId="36" xfId="0" applyNumberFormat="1" applyFill="1" applyBorder="1" applyAlignment="1">
      <alignment/>
    </xf>
    <xf numFmtId="2" fontId="0" fillId="10" borderId="19" xfId="0" applyNumberFormat="1" applyFill="1" applyBorder="1" applyAlignment="1">
      <alignment/>
    </xf>
    <xf numFmtId="2" fontId="0" fillId="10" borderId="8" xfId="0" applyNumberFormat="1" applyFill="1" applyBorder="1" applyAlignment="1">
      <alignment/>
    </xf>
    <xf numFmtId="2" fontId="0" fillId="10" borderId="16" xfId="0" applyNumberFormat="1" applyFill="1" applyBorder="1" applyAlignment="1">
      <alignment/>
    </xf>
    <xf numFmtId="2" fontId="0" fillId="10" borderId="9" xfId="0" applyNumberFormat="1" applyFill="1" applyBorder="1" applyAlignment="1">
      <alignment/>
    </xf>
    <xf numFmtId="2" fontId="0" fillId="10" borderId="10" xfId="0" applyNumberFormat="1" applyFill="1" applyBorder="1" applyAlignment="1">
      <alignment/>
    </xf>
    <xf numFmtId="0" fontId="0" fillId="0" borderId="0" xfId="0" applyFont="1" applyAlignment="1">
      <alignment horizontal="center"/>
    </xf>
    <xf numFmtId="1" fontId="0" fillId="0" borderId="42" xfId="0" applyNumberFormat="1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1" fontId="0" fillId="0" borderId="44" xfId="0" applyNumberFormat="1" applyFont="1" applyFill="1" applyBorder="1" applyAlignment="1">
      <alignment horizontal="center"/>
    </xf>
    <xf numFmtId="1" fontId="0" fillId="0" borderId="45" xfId="0" applyNumberFormat="1" applyFont="1" applyFill="1" applyBorder="1" applyAlignment="1">
      <alignment horizontal="center"/>
    </xf>
    <xf numFmtId="14" fontId="5" fillId="0" borderId="0" xfId="0" applyNumberFormat="1" applyFont="1" applyAlignment="1">
      <alignment/>
    </xf>
    <xf numFmtId="0" fontId="0" fillId="0" borderId="1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5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IL-8 secretion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Calculation!$C$33</c:f>
              <c:strCache>
                <c:ptCount val="1"/>
                <c:pt idx="0">
                  <c:v>S0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Calculation!$F$57:$F$60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Calculation!$F$57:$F$60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noEndCap val="0"/>
          </c:errBars>
          <c:cat>
            <c:strRef>
              <c:f>Calculation!$D$57:$D$60</c:f>
              <c:strCache>
                <c:ptCount val="4"/>
                <c:pt idx="0">
                  <c:v>CTR</c:v>
                </c:pt>
                <c:pt idx="1">
                  <c:v>CSE</c:v>
                </c:pt>
                <c:pt idx="2">
                  <c:v>CSE+8-p</c:v>
                </c:pt>
                <c:pt idx="3">
                  <c:v>CSE+Bnz</c:v>
                </c:pt>
              </c:strCache>
            </c:strRef>
          </c:cat>
          <c:val>
            <c:numRef>
              <c:f>Calculation!$E$57:$E$60</c:f>
              <c:numCache>
                <c:ptCount val="4"/>
                <c:pt idx="0">
                  <c:v>33.76791033036802</c:v>
                </c:pt>
                <c:pt idx="1">
                  <c:v>239.80910372624749</c:v>
                </c:pt>
                <c:pt idx="2">
                  <c:v>414.0943476175022</c:v>
                </c:pt>
                <c:pt idx="3">
                  <c:v>128.27743528514225</c:v>
                </c:pt>
              </c:numCache>
            </c:numRef>
          </c:val>
        </c:ser>
        <c:ser>
          <c:idx val="1"/>
          <c:order val="1"/>
          <c:tx>
            <c:strRef>
              <c:f>Calculation!$C$37</c:f>
              <c:strCache>
                <c:ptCount val="1"/>
                <c:pt idx="0">
                  <c:v>HT31basal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Calculation!$F$61:$F$64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Calculation!$F$61:$F$64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noEndCap val="0"/>
          </c:errBars>
          <c:cat>
            <c:strRef>
              <c:f>Calculation!$D$57:$D$60</c:f>
              <c:strCache>
                <c:ptCount val="4"/>
                <c:pt idx="0">
                  <c:v>CTR</c:v>
                </c:pt>
                <c:pt idx="1">
                  <c:v>CSE</c:v>
                </c:pt>
                <c:pt idx="2">
                  <c:v>CSE+8-p</c:v>
                </c:pt>
                <c:pt idx="3">
                  <c:v>CSE+Bnz</c:v>
                </c:pt>
              </c:strCache>
            </c:strRef>
          </c:cat>
          <c:val>
            <c:numRef>
              <c:f>Calculation!$E$61:$E$64</c:f>
              <c:numCache>
                <c:ptCount val="4"/>
                <c:pt idx="0">
                  <c:v>37.970642873153146</c:v>
                </c:pt>
                <c:pt idx="1">
                  <c:v>503.5237737890395</c:v>
                </c:pt>
                <c:pt idx="2">
                  <c:v>574.5179107294772</c:v>
                </c:pt>
                <c:pt idx="3">
                  <c:v>90.90877670787474</c:v>
                </c:pt>
              </c:numCache>
            </c:numRef>
          </c:val>
        </c:ser>
        <c:axId val="33120126"/>
        <c:axId val="29645679"/>
      </c:barChart>
      <c:catAx>
        <c:axId val="33120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45679"/>
        <c:crosses val="autoZero"/>
        <c:auto val="1"/>
        <c:lblOffset val="100"/>
        <c:noMultiLvlLbl val="0"/>
      </c:catAx>
      <c:valAx>
        <c:axId val="29645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IL-8 (pg/ml)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120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Dose effect curve </a:t>
            </a:r>
            <a:r>
              <a:rPr lang="en-US" cap="none" sz="11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D9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Ht31P/IL-8 Corrected for Alamar Blue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0 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Calculation!$D$46:$D$49</c:f>
              <c:strCache>
                <c:ptCount val="4"/>
                <c:pt idx="0">
                  <c:v>CTR</c:v>
                </c:pt>
                <c:pt idx="1">
                  <c:v>CSE</c:v>
                </c:pt>
                <c:pt idx="2">
                  <c:v>CSE+8-p</c:v>
                </c:pt>
                <c:pt idx="3">
                  <c:v>CSE+Bnz</c:v>
                </c:pt>
              </c:strCache>
            </c:strRef>
          </c:cat>
          <c:val>
            <c:numRef>
              <c:f>Calculation!$W$46:$W$49</c:f>
              <c:numCache>
                <c:ptCount val="4"/>
                <c:pt idx="0">
                  <c:v>22.36120937494606</c:v>
                </c:pt>
                <c:pt idx="1">
                  <c:v>336.3987666798844</c:v>
                </c:pt>
                <c:pt idx="2">
                  <c:v>345.5853788931209</c:v>
                </c:pt>
                <c:pt idx="3">
                  <c:v>72.40061001524732</c:v>
                </c:pt>
              </c:numCache>
            </c:numRef>
          </c:val>
        </c:ser>
        <c:ser>
          <c:idx val="1"/>
          <c:order val="1"/>
          <c:tx>
            <c:v>10 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Calculation!$D$46:$D$49</c:f>
              <c:strCache>
                <c:ptCount val="4"/>
                <c:pt idx="0">
                  <c:v>CTR</c:v>
                </c:pt>
                <c:pt idx="1">
                  <c:v>CSE</c:v>
                </c:pt>
                <c:pt idx="2">
                  <c:v>CSE+8-p</c:v>
                </c:pt>
                <c:pt idx="3">
                  <c:v>CSE+Bnz</c:v>
                </c:pt>
              </c:strCache>
            </c:strRef>
          </c:cat>
          <c:val>
            <c:numRef>
              <c:f>Calculation!$X$46:$X$49</c:f>
              <c:numCache>
                <c:ptCount val="4"/>
                <c:pt idx="0">
                  <c:v>252.06299479241224</c:v>
                </c:pt>
                <c:pt idx="1">
                  <c:v>1644.951411249095</c:v>
                </c:pt>
                <c:pt idx="2">
                  <c:v>1745.6749368508142</c:v>
                </c:pt>
                <c:pt idx="3">
                  <c:v>159.19345185419076</c:v>
                </c:pt>
              </c:numCache>
            </c:numRef>
          </c:val>
        </c:ser>
        <c:ser>
          <c:idx val="2"/>
          <c:order val="2"/>
          <c:tx>
            <c:v>20 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Calculation!$D$46:$D$49</c:f>
              <c:strCache>
                <c:ptCount val="4"/>
                <c:pt idx="0">
                  <c:v>CTR</c:v>
                </c:pt>
                <c:pt idx="1">
                  <c:v>CSE</c:v>
                </c:pt>
                <c:pt idx="2">
                  <c:v>CSE+8-p</c:v>
                </c:pt>
                <c:pt idx="3">
                  <c:v>CSE+Bnz</c:v>
                </c:pt>
              </c:strCache>
            </c:strRef>
          </c:cat>
          <c:val>
            <c:numRef>
              <c:f>Calculation!$Y$46:$Y$49</c:f>
              <c:numCache>
                <c:ptCount val="4"/>
                <c:pt idx="0">
                  <c:v>367.1250229185468</c:v>
                </c:pt>
                <c:pt idx="1">
                  <c:v>2155.760208278074</c:v>
                </c:pt>
                <c:pt idx="2">
                  <c:v>2265.240233273209</c:v>
                </c:pt>
                <c:pt idx="3">
                  <c:v>107.70092811537803</c:v>
                </c:pt>
              </c:numCache>
            </c:numRef>
          </c:val>
        </c:ser>
        <c:ser>
          <c:idx val="3"/>
          <c:order val="3"/>
          <c:tx>
            <c:v>30 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Calculation!$D$46:$D$49</c:f>
              <c:strCache>
                <c:ptCount val="4"/>
                <c:pt idx="0">
                  <c:v>CTR</c:v>
                </c:pt>
                <c:pt idx="1">
                  <c:v>CSE</c:v>
                </c:pt>
                <c:pt idx="2">
                  <c:v>CSE+8-p</c:v>
                </c:pt>
                <c:pt idx="3">
                  <c:v>CSE+Bnz</c:v>
                </c:pt>
              </c:strCache>
            </c:strRef>
          </c:cat>
          <c:val>
            <c:numRef>
              <c:f>Calculation!$Z$46:$Z$49</c:f>
              <c:numCache>
                <c:ptCount val="4"/>
                <c:pt idx="0">
                  <c:v>766.1792698182147</c:v>
                </c:pt>
                <c:pt idx="1">
                  <c:v>2715.3304760827145</c:v>
                </c:pt>
                <c:pt idx="2">
                  <c:v>2127.5560006337705</c:v>
                </c:pt>
                <c:pt idx="3">
                  <c:v>244.1303719524813</c:v>
                </c:pt>
              </c:numCache>
            </c:numRef>
          </c:val>
        </c:ser>
        <c:ser>
          <c:idx val="4"/>
          <c:order val="4"/>
          <c:tx>
            <c:v>40 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Calculation!$D$46:$D$49</c:f>
              <c:strCache>
                <c:ptCount val="4"/>
                <c:pt idx="0">
                  <c:v>CTR</c:v>
                </c:pt>
                <c:pt idx="1">
                  <c:v>CSE</c:v>
                </c:pt>
                <c:pt idx="2">
                  <c:v>CSE+8-p</c:v>
                </c:pt>
                <c:pt idx="3">
                  <c:v>CSE+Bnz</c:v>
                </c:pt>
              </c:strCache>
            </c:strRef>
          </c:cat>
          <c:val>
            <c:numRef>
              <c:f>Calculation!$AA$46:$AA$49</c:f>
              <c:numCache>
                <c:ptCount val="4"/>
                <c:pt idx="0">
                  <c:v>703.21698491694</c:v>
                </c:pt>
                <c:pt idx="1">
                  <c:v>2693.6679596692024</c:v>
                </c:pt>
                <c:pt idx="2">
                  <c:v>2731.4185893603217</c:v>
                </c:pt>
                <c:pt idx="3">
                  <c:v>340.46097342045925</c:v>
                </c:pt>
              </c:numCache>
            </c:numRef>
          </c:val>
        </c:ser>
        <c:ser>
          <c:idx val="5"/>
          <c:order val="5"/>
          <c:tx>
            <c:v>50 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Calculation!$D$46:$D$49</c:f>
              <c:strCache>
                <c:ptCount val="4"/>
                <c:pt idx="0">
                  <c:v>CTR</c:v>
                </c:pt>
                <c:pt idx="1">
                  <c:v>CSE</c:v>
                </c:pt>
                <c:pt idx="2">
                  <c:v>CSE+8-p</c:v>
                </c:pt>
                <c:pt idx="3">
                  <c:v>CSE+Bnz</c:v>
                </c:pt>
              </c:strCache>
            </c:strRef>
          </c:cat>
          <c:val>
            <c:numRef>
              <c:f>Calculation!$AB$46:$AB$49</c:f>
              <c:numCache>
                <c:ptCount val="4"/>
                <c:pt idx="0">
                  <c:v>417.93658090461247</c:v>
                </c:pt>
                <c:pt idx="1">
                  <c:v>1502.326238069583</c:v>
                </c:pt>
                <c:pt idx="2">
                  <c:v>1795.7152307427752</c:v>
                </c:pt>
                <c:pt idx="3">
                  <c:v>179.40004438385725</c:v>
                </c:pt>
              </c:numCache>
            </c:numRef>
          </c:val>
        </c:ser>
        <c:axId val="65484520"/>
        <c:axId val="52489769"/>
      </c:barChart>
      <c:catAx>
        <c:axId val="65484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Conc. Ht31P (μM)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89769"/>
        <c:crosses val="autoZero"/>
        <c:auto val="1"/>
        <c:lblOffset val="100"/>
        <c:noMultiLvlLbl val="0"/>
      </c:catAx>
      <c:valAx>
        <c:axId val="52489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Conc. IL-8 (pg/mL)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484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Standard Curve IL-8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Calculation!$D$13</c:f>
              <c:strCache>
                <c:ptCount val="1"/>
                <c:pt idx="0">
                  <c:v>Average Absorbance (450 nm)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Calculation!$C$14:$C$21</c:f>
              <c:numCache/>
            </c:numRef>
          </c:xVal>
          <c:yVal>
            <c:numRef>
              <c:f>Calculation!$D$14:$D$21</c:f>
              <c:numCache/>
            </c:numRef>
          </c:yVal>
          <c:smooth val="0"/>
        </c:ser>
        <c:axId val="2645874"/>
        <c:axId val="23812867"/>
      </c:scatterChart>
      <c:valAx>
        <c:axId val="264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IL-8 Conc. (pg/mL)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812867"/>
        <c:crosses val="autoZero"/>
        <c:crossBetween val="midCat"/>
        <c:dispUnits/>
      </c:valAx>
      <c:valAx>
        <c:axId val="23812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Absorbance (450 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6458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Dose response curve Ht31P </a:t>
            </a:r>
            <a:r>
              <a:rPr lang="en-US" cap="none" sz="11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9025"/>
          <c:w val="0.7075"/>
          <c:h val="0.6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'Alamar blue'!$H$2</c:f>
              <c:strCache>
                <c:ptCount val="1"/>
                <c:pt idx="0">
                  <c:v>CTR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'Alamar blue'!$I$1:$N$1</c:f>
              <c:numCache/>
            </c:numRef>
          </c:cat>
          <c:val>
            <c:numRef>
              <c:f>'Alamar blue'!$I$14:$N$14</c:f>
              <c:numCache/>
            </c:numRef>
          </c:val>
        </c:ser>
        <c:ser>
          <c:idx val="1"/>
          <c:order val="1"/>
          <c:tx>
            <c:strRef>
              <c:f>'Alamar blue'!$H$3</c:f>
              <c:strCache>
                <c:ptCount val="1"/>
                <c:pt idx="0">
                  <c:v>CSE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'Alamar blue'!$I$1:$N$1</c:f>
              <c:numCache/>
            </c:numRef>
          </c:cat>
          <c:val>
            <c:numRef>
              <c:f>'Alamar blue'!$I$15:$N$15</c:f>
              <c:numCache/>
            </c:numRef>
          </c:val>
        </c:ser>
        <c:ser>
          <c:idx val="2"/>
          <c:order val="2"/>
          <c:tx>
            <c:strRef>
              <c:f>'Alamar blue'!$H$4</c:f>
              <c:strCache>
                <c:ptCount val="1"/>
                <c:pt idx="0">
                  <c:v>CSE+8-p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'Alamar blue'!$I$16:$N$16</c:f>
              <c:numCache/>
            </c:numRef>
          </c:val>
        </c:ser>
        <c:ser>
          <c:idx val="3"/>
          <c:order val="3"/>
          <c:tx>
            <c:strRef>
              <c:f>'Alamar blue'!$H$5</c:f>
              <c:strCache>
                <c:ptCount val="1"/>
                <c:pt idx="0">
                  <c:v>CSE+Bnz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'Alamar blue'!$I$17:$N$17</c:f>
              <c:numCache/>
            </c:numRef>
          </c:val>
        </c:ser>
        <c:axId val="12989212"/>
        <c:axId val="49794045"/>
      </c:barChart>
      <c:catAx>
        <c:axId val="12989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Conc. Ht31P (μM)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94045"/>
        <c:crosses val="autoZero"/>
        <c:auto val="1"/>
        <c:lblOffset val="100"/>
        <c:noMultiLvlLbl val="0"/>
      </c:catAx>
      <c:valAx>
        <c:axId val="49794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Survival (%)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89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Ht31 </a:t>
            </a:r>
            <a:r>
              <a:rPr lang="en-US" cap="none" sz="11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D9 normalized against S0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7675"/>
          <c:w val="0.7255"/>
          <c:h val="0.707"/>
        </c:manualLayout>
      </c:layout>
      <c:barChart>
        <c:barDir val="col"/>
        <c:grouping val="clustered"/>
        <c:varyColors val="0"/>
        <c:ser>
          <c:idx val="0"/>
          <c:order val="0"/>
          <c:tx>
            <c:v>S0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'Alamar blue'!$Q$5:$Q$8</c:f>
              <c:strCache/>
            </c:strRef>
          </c:cat>
          <c:val>
            <c:numRef>
              <c:f>'Alamar blue'!$S$5:$S$8</c:f>
              <c:numCache/>
            </c:numRef>
          </c:val>
        </c:ser>
        <c:ser>
          <c:idx val="1"/>
          <c:order val="1"/>
          <c:tx>
            <c:v>Ht31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'Alamar blue'!$Q$5:$Q$8</c:f>
              <c:strCache/>
            </c:strRef>
          </c:cat>
          <c:val>
            <c:numRef>
              <c:f>'Alamar blue'!$S$9:$S$12</c:f>
              <c:numCache/>
            </c:numRef>
          </c:val>
        </c:ser>
        <c:axId val="45493222"/>
        <c:axId val="6785815"/>
      </c:barChart>
      <c:catAx>
        <c:axId val="4549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Conc. Ht31P (μM)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85815"/>
        <c:crosses val="autoZero"/>
        <c:auto val="1"/>
        <c:lblOffset val="100"/>
        <c:noMultiLvlLbl val="0"/>
      </c:catAx>
      <c:valAx>
        <c:axId val="67858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Survival (%)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93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10</xdr:row>
      <xdr:rowOff>152400</xdr:rowOff>
    </xdr:from>
    <xdr:to>
      <xdr:col>20</xdr:col>
      <xdr:colOff>485775</xdr:colOff>
      <xdr:row>28</xdr:row>
      <xdr:rowOff>28575</xdr:rowOff>
    </xdr:to>
    <xdr:graphicFrame>
      <xdr:nvGraphicFramePr>
        <xdr:cNvPr id="1" name="Chart 26"/>
        <xdr:cNvGraphicFramePr/>
      </xdr:nvGraphicFramePr>
      <xdr:xfrm>
        <a:off x="7124700" y="1876425"/>
        <a:ext cx="59626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18</xdr:row>
      <xdr:rowOff>0</xdr:rowOff>
    </xdr:from>
    <xdr:to>
      <xdr:col>16</xdr:col>
      <xdr:colOff>171450</xdr:colOff>
      <xdr:row>35</xdr:row>
      <xdr:rowOff>95250</xdr:rowOff>
    </xdr:to>
    <xdr:graphicFrame>
      <xdr:nvGraphicFramePr>
        <xdr:cNvPr id="1" name="Chart 2"/>
        <xdr:cNvGraphicFramePr/>
      </xdr:nvGraphicFramePr>
      <xdr:xfrm>
        <a:off x="4629150" y="3105150"/>
        <a:ext cx="60007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36</xdr:row>
      <xdr:rowOff>123825</xdr:rowOff>
    </xdr:from>
    <xdr:to>
      <xdr:col>16</xdr:col>
      <xdr:colOff>28575</xdr:colOff>
      <xdr:row>54</xdr:row>
      <xdr:rowOff>123825</xdr:rowOff>
    </xdr:to>
    <xdr:graphicFrame>
      <xdr:nvGraphicFramePr>
        <xdr:cNvPr id="2" name="Chart 3"/>
        <xdr:cNvGraphicFramePr/>
      </xdr:nvGraphicFramePr>
      <xdr:xfrm>
        <a:off x="4581525" y="6143625"/>
        <a:ext cx="59055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ERT%20Donor%2012%20Ht31%20010310%20-%20dose%20effect%20cur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 IL-8 conc."/>
      <sheetName val="D-E curve"/>
      <sheetName val="Calculation"/>
      <sheetName val="Alamar bl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zoomScale="50" zoomScaleNormal="50" workbookViewId="0" topLeftCell="A1">
      <selection activeCell="AB29" sqref="AB29"/>
    </sheetView>
  </sheetViews>
  <sheetFormatPr defaultColWidth="9.140625" defaultRowHeight="12.75"/>
  <cols>
    <col min="1" max="1" width="10.7109375" style="0" bestFit="1" customWidth="1"/>
    <col min="2" max="2" width="2.421875" style="0" bestFit="1" customWidth="1"/>
    <col min="3" max="3" width="9.421875" style="0" customWidth="1"/>
    <col min="4" max="4" width="13.28125" style="0" customWidth="1"/>
    <col min="5" max="5" width="11.00390625" style="0" customWidth="1"/>
    <col min="6" max="6" width="10.7109375" style="0" bestFit="1" customWidth="1"/>
    <col min="7" max="7" width="8.8515625" style="0" bestFit="1" customWidth="1"/>
    <col min="8" max="8" width="10.57421875" style="0" bestFit="1" customWidth="1"/>
    <col min="9" max="9" width="11.00390625" style="0" bestFit="1" customWidth="1"/>
    <col min="10" max="10" width="9.57421875" style="0" bestFit="1" customWidth="1"/>
    <col min="26" max="26" width="10.7109375" style="0" bestFit="1" customWidth="1"/>
  </cols>
  <sheetData>
    <row r="1" spans="1:14" ht="13.5" thickBot="1">
      <c r="A1" s="52" t="s">
        <v>70</v>
      </c>
      <c r="B1" s="53"/>
      <c r="C1" s="171" t="s">
        <v>71</v>
      </c>
      <c r="D1" s="172"/>
      <c r="E1" s="173"/>
      <c r="F1" s="171" t="s">
        <v>40</v>
      </c>
      <c r="G1" s="172"/>
      <c r="H1" s="173"/>
      <c r="I1" s="171" t="s">
        <v>41</v>
      </c>
      <c r="J1" s="172"/>
      <c r="K1" s="172"/>
      <c r="L1" s="172" t="s">
        <v>41</v>
      </c>
      <c r="M1" s="172"/>
      <c r="N1" s="173"/>
    </row>
    <row r="2" spans="1:14" ht="14.25" thickBot="1" thickTop="1">
      <c r="A2" s="54" t="s">
        <v>37</v>
      </c>
      <c r="B2" s="1"/>
      <c r="C2" s="102">
        <v>1</v>
      </c>
      <c r="D2" s="55">
        <v>2</v>
      </c>
      <c r="E2" s="2">
        <v>3</v>
      </c>
      <c r="F2" s="103">
        <v>4</v>
      </c>
      <c r="G2" s="55">
        <v>5</v>
      </c>
      <c r="H2" s="2">
        <v>6</v>
      </c>
      <c r="I2" s="103">
        <v>7</v>
      </c>
      <c r="J2" s="55">
        <v>8</v>
      </c>
      <c r="K2" s="55">
        <v>9</v>
      </c>
      <c r="L2" s="55">
        <v>10</v>
      </c>
      <c r="M2" s="55">
        <v>11</v>
      </c>
      <c r="N2" s="2">
        <v>12</v>
      </c>
    </row>
    <row r="3" spans="1:26" ht="13.5" thickBot="1">
      <c r="A3" s="56" t="s">
        <v>0</v>
      </c>
      <c r="B3" s="3" t="s">
        <v>1</v>
      </c>
      <c r="C3" s="89">
        <v>0.183</v>
      </c>
      <c r="D3" s="90">
        <v>0.182</v>
      </c>
      <c r="E3" s="91">
        <v>0.187</v>
      </c>
      <c r="F3" s="89">
        <v>0.21</v>
      </c>
      <c r="G3" s="90">
        <v>0.196</v>
      </c>
      <c r="H3" s="91">
        <v>0.188</v>
      </c>
      <c r="I3" s="74">
        <v>0.158</v>
      </c>
      <c r="J3" s="75">
        <v>0.475</v>
      </c>
      <c r="K3" s="75">
        <v>0.447</v>
      </c>
      <c r="L3" s="75">
        <v>0.824</v>
      </c>
      <c r="M3" s="75">
        <v>0.571</v>
      </c>
      <c r="N3" s="76">
        <v>0.449</v>
      </c>
      <c r="Z3" s="154">
        <v>40235</v>
      </c>
    </row>
    <row r="4" spans="1:14" ht="13.5" thickBot="1">
      <c r="A4" s="57" t="s">
        <v>2</v>
      </c>
      <c r="B4" s="4" t="s">
        <v>3</v>
      </c>
      <c r="C4" s="89">
        <v>0.232</v>
      </c>
      <c r="D4" s="90">
        <v>0.215</v>
      </c>
      <c r="E4" s="91">
        <v>0.239</v>
      </c>
      <c r="F4" s="83">
        <v>0.426</v>
      </c>
      <c r="G4" s="84">
        <v>0.292</v>
      </c>
      <c r="H4" s="85">
        <v>0.329</v>
      </c>
      <c r="I4" s="74">
        <v>0.476</v>
      </c>
      <c r="J4" s="75">
        <v>0.913</v>
      </c>
      <c r="K4" s="75">
        <v>0.73</v>
      </c>
      <c r="L4" s="75">
        <v>0.815</v>
      </c>
      <c r="M4" s="75">
        <v>0.756</v>
      </c>
      <c r="N4" s="76">
        <v>0.588</v>
      </c>
    </row>
    <row r="5" spans="1:14" ht="13.5" thickBot="1">
      <c r="A5" s="57" t="s">
        <v>4</v>
      </c>
      <c r="B5" s="4" t="s">
        <v>5</v>
      </c>
      <c r="C5" s="83">
        <v>0.269</v>
      </c>
      <c r="D5" s="90">
        <v>0.327</v>
      </c>
      <c r="E5" s="91">
        <v>0.326</v>
      </c>
      <c r="F5" s="89">
        <v>0.333</v>
      </c>
      <c r="G5" s="90">
        <v>0.332</v>
      </c>
      <c r="H5" s="85">
        <v>0.473</v>
      </c>
      <c r="I5" s="74">
        <v>0.501</v>
      </c>
      <c r="J5" s="75">
        <v>1.023</v>
      </c>
      <c r="K5" s="75">
        <v>0.794</v>
      </c>
      <c r="L5" s="75">
        <v>0.688</v>
      </c>
      <c r="M5" s="75">
        <v>0.758</v>
      </c>
      <c r="N5" s="76">
        <v>0.707</v>
      </c>
    </row>
    <row r="6" spans="1:14" ht="13.5" thickBot="1">
      <c r="A6" s="57" t="s">
        <v>6</v>
      </c>
      <c r="B6" s="4" t="s">
        <v>7</v>
      </c>
      <c r="C6" s="89">
        <v>0.147</v>
      </c>
      <c r="D6" s="84">
        <v>0.218</v>
      </c>
      <c r="E6" s="91">
        <v>0.156</v>
      </c>
      <c r="F6" s="83">
        <v>0.173</v>
      </c>
      <c r="G6" s="90">
        <v>0.146</v>
      </c>
      <c r="H6" s="91">
        <v>0.138</v>
      </c>
      <c r="I6" s="74">
        <v>0.18</v>
      </c>
      <c r="J6" s="75">
        <v>0.204</v>
      </c>
      <c r="K6" s="75">
        <v>0.137</v>
      </c>
      <c r="L6" s="75">
        <v>0.171</v>
      </c>
      <c r="M6" s="75">
        <v>0.2</v>
      </c>
      <c r="N6" s="76">
        <v>0.152</v>
      </c>
    </row>
    <row r="7" spans="1:16" ht="13.5" thickBot="1">
      <c r="A7" s="57" t="s">
        <v>0</v>
      </c>
      <c r="B7" s="4" t="s">
        <v>8</v>
      </c>
      <c r="C7" s="77"/>
      <c r="D7" s="77"/>
      <c r="E7" s="77"/>
      <c r="F7" s="77"/>
      <c r="G7" s="77"/>
      <c r="H7" s="77"/>
      <c r="I7" s="78">
        <v>1.194</v>
      </c>
      <c r="J7" s="79">
        <v>0.626</v>
      </c>
      <c r="K7" s="79">
        <v>0.327</v>
      </c>
      <c r="L7" s="79">
        <v>0.178</v>
      </c>
      <c r="M7" s="79">
        <v>0.11</v>
      </c>
      <c r="N7" s="80">
        <v>0.108</v>
      </c>
      <c r="O7" s="159" t="s">
        <v>12</v>
      </c>
      <c r="P7" s="168"/>
    </row>
    <row r="8" spans="1:16" ht="13.5" thickBot="1">
      <c r="A8" s="57" t="s">
        <v>2</v>
      </c>
      <c r="B8" s="4" t="s">
        <v>9</v>
      </c>
      <c r="C8" s="77"/>
      <c r="D8" s="77"/>
      <c r="E8" s="77"/>
      <c r="F8" s="77"/>
      <c r="G8" s="77"/>
      <c r="H8" s="77"/>
      <c r="I8" s="78">
        <v>1.137</v>
      </c>
      <c r="J8" s="79">
        <v>0.616</v>
      </c>
      <c r="K8" s="79">
        <v>0.314</v>
      </c>
      <c r="L8" s="79">
        <v>0.17</v>
      </c>
      <c r="M8" s="79">
        <v>0.113</v>
      </c>
      <c r="N8" s="80">
        <v>0.103</v>
      </c>
      <c r="O8" s="160"/>
      <c r="P8" s="169"/>
    </row>
    <row r="9" spans="1:16" ht="13.5" thickBot="1">
      <c r="A9" s="57" t="s">
        <v>4</v>
      </c>
      <c r="B9" s="4" t="s">
        <v>10</v>
      </c>
      <c r="C9" s="77"/>
      <c r="D9" s="77"/>
      <c r="E9" s="77"/>
      <c r="F9" s="77"/>
      <c r="G9" s="77"/>
      <c r="H9" s="77"/>
      <c r="I9" s="78">
        <v>0.077</v>
      </c>
      <c r="J9" s="79">
        <v>0.092</v>
      </c>
      <c r="K9" s="81">
        <v>0.069</v>
      </c>
      <c r="L9" s="81">
        <v>0.068</v>
      </c>
      <c r="M9" s="81">
        <v>0.064</v>
      </c>
      <c r="N9" s="82">
        <v>0.086</v>
      </c>
      <c r="O9" s="160"/>
      <c r="P9" s="169"/>
    </row>
    <row r="10" spans="1:16" ht="13.5" thickBot="1">
      <c r="A10" s="57" t="s">
        <v>6</v>
      </c>
      <c r="B10" s="4" t="s">
        <v>11</v>
      </c>
      <c r="C10" s="77"/>
      <c r="D10" s="77"/>
      <c r="E10" s="77"/>
      <c r="F10" s="77"/>
      <c r="G10" s="77"/>
      <c r="H10" s="77"/>
      <c r="I10" s="78">
        <v>0.089</v>
      </c>
      <c r="J10" s="79">
        <v>0.1</v>
      </c>
      <c r="K10" s="81">
        <v>0.074</v>
      </c>
      <c r="L10" s="81">
        <v>0.079</v>
      </c>
      <c r="M10" s="81">
        <v>0.073</v>
      </c>
      <c r="N10" s="82">
        <v>0.078</v>
      </c>
      <c r="O10" s="161"/>
      <c r="P10" s="170"/>
    </row>
    <row r="12" spans="3:4" ht="12.75">
      <c r="C12" t="s">
        <v>12</v>
      </c>
      <c r="D12" t="s">
        <v>30</v>
      </c>
    </row>
    <row r="13" spans="3:7" ht="38.25">
      <c r="C13" s="50" t="s">
        <v>38</v>
      </c>
      <c r="D13" s="50" t="s">
        <v>31</v>
      </c>
      <c r="E13" s="50" t="s">
        <v>33</v>
      </c>
      <c r="F13" s="50" t="s">
        <v>36</v>
      </c>
      <c r="G13" s="51" t="s">
        <v>39</v>
      </c>
    </row>
    <row r="14" spans="3:7" ht="12.75">
      <c r="C14" s="58">
        <v>240</v>
      </c>
      <c r="D14" s="48">
        <f>AVERAGE(I7:I8)</f>
        <v>1.1655</v>
      </c>
      <c r="E14" s="47">
        <f>INTERCEPT(D14:D21,C14:C21)</f>
        <v>0.10703071045513426</v>
      </c>
      <c r="F14" s="47">
        <f>LINEST(D14:D21,C14:C21)</f>
        <v>0.0045587238767123865</v>
      </c>
      <c r="G14" s="46">
        <f>RSQ(D14:D21,C14:C21)</f>
        <v>0.9899768955828255</v>
      </c>
    </row>
    <row r="15" spans="3:7" ht="12.75">
      <c r="C15" s="58">
        <v>96</v>
      </c>
      <c r="D15" s="48">
        <f>AVERAGE(J7:J8)</f>
        <v>0.621</v>
      </c>
      <c r="E15" s="49"/>
      <c r="F15" s="49" t="s">
        <v>82</v>
      </c>
      <c r="G15" s="49"/>
    </row>
    <row r="16" spans="3:7" ht="12.75">
      <c r="C16" s="58">
        <v>38.4</v>
      </c>
      <c r="D16" s="48">
        <f>AVERAGE(K7:K8)</f>
        <v>0.3205</v>
      </c>
      <c r="E16" s="49"/>
      <c r="F16" s="49"/>
      <c r="G16" s="49"/>
    </row>
    <row r="17" spans="3:7" ht="12.75">
      <c r="C17" s="58">
        <v>15.4</v>
      </c>
      <c r="D17" s="48">
        <f>AVERAGE(L7:L8)</f>
        <v>0.174</v>
      </c>
      <c r="E17" s="49"/>
      <c r="F17" s="49"/>
      <c r="G17" s="49"/>
    </row>
    <row r="18" spans="3:7" ht="12.75">
      <c r="C18" s="58">
        <v>6.1</v>
      </c>
      <c r="D18" s="48">
        <f>AVERAGE(M7:M8)</f>
        <v>0.1115</v>
      </c>
      <c r="E18" s="49"/>
      <c r="F18" s="49"/>
      <c r="G18" s="49"/>
    </row>
    <row r="19" spans="3:7" ht="12.75">
      <c r="C19" s="58">
        <v>2.5</v>
      </c>
      <c r="D19" s="48">
        <f>AVERAGE(N7:N8)</f>
        <v>0.1055</v>
      </c>
      <c r="E19" s="49"/>
      <c r="F19" s="49"/>
      <c r="G19" s="49"/>
    </row>
    <row r="20" spans="3:7" ht="12.75">
      <c r="C20" s="58">
        <v>1</v>
      </c>
      <c r="D20" s="48">
        <f>AVERAGE(I9:I10)</f>
        <v>0.08299999999999999</v>
      </c>
      <c r="E20" s="49"/>
      <c r="F20" s="49"/>
      <c r="G20" s="49"/>
    </row>
    <row r="21" spans="3:7" ht="12.75">
      <c r="C21" s="58">
        <v>0</v>
      </c>
      <c r="D21" s="48">
        <f>AVERAGE(J9:J10)</f>
        <v>0.096</v>
      </c>
      <c r="E21" s="49"/>
      <c r="F21" s="49"/>
      <c r="G21" s="49"/>
    </row>
    <row r="22" spans="3:7" ht="12.75">
      <c r="C22" s="45" t="s">
        <v>34</v>
      </c>
      <c r="D22" s="45" t="s">
        <v>35</v>
      </c>
      <c r="E22" s="45" t="s">
        <v>3</v>
      </c>
      <c r="F22" s="45" t="s">
        <v>1</v>
      </c>
      <c r="G22" s="44" t="s">
        <v>32</v>
      </c>
    </row>
    <row r="28" s="100" customFormat="1" ht="12.75">
      <c r="G28" s="104"/>
    </row>
    <row r="29" s="100" customFormat="1" ht="12.75">
      <c r="F29" s="88"/>
    </row>
    <row r="30" spans="6:10" s="100" customFormat="1" ht="12.75">
      <c r="F30" s="104"/>
      <c r="J30" s="100" t="s">
        <v>83</v>
      </c>
    </row>
    <row r="31" spans="6:10" s="100" customFormat="1" ht="12.75">
      <c r="F31" s="100" t="s">
        <v>13</v>
      </c>
      <c r="G31" s="100" t="s">
        <v>13</v>
      </c>
      <c r="J31" s="100" t="s">
        <v>14</v>
      </c>
    </row>
    <row r="32" spans="3:10" s="100" customFormat="1" ht="13.5" thickBot="1">
      <c r="C32" s="100" t="s">
        <v>69</v>
      </c>
      <c r="E32" s="100" t="s">
        <v>15</v>
      </c>
      <c r="F32" s="100" t="s">
        <v>16</v>
      </c>
      <c r="G32" s="100" t="s">
        <v>17</v>
      </c>
      <c r="H32" s="100" t="s">
        <v>18</v>
      </c>
      <c r="I32" s="100" t="s">
        <v>19</v>
      </c>
      <c r="J32" s="100" t="s">
        <v>20</v>
      </c>
    </row>
    <row r="33" spans="3:10" ht="12.75">
      <c r="C33" s="159" t="str">
        <f>$C$1</f>
        <v>S0</v>
      </c>
      <c r="D33" s="27" t="str">
        <f>$A$3</f>
        <v>CTR</v>
      </c>
      <c r="E33" s="94">
        <f>AVERAGE(C3:E3)</f>
        <v>0.18400000000000002</v>
      </c>
      <c r="F33" s="5">
        <f>(E33-$E$14)/$F$14</f>
        <v>16.88395516518401</v>
      </c>
      <c r="G33" s="5">
        <f>F33*2</f>
        <v>33.76791033036802</v>
      </c>
      <c r="H33" s="5">
        <f>'Alamar blue'!$R$5</f>
        <v>2884.6666666666665</v>
      </c>
      <c r="I33" s="5">
        <v>100</v>
      </c>
      <c r="J33" s="6">
        <f>G33/I33*100</f>
        <v>33.76791033036802</v>
      </c>
    </row>
    <row r="34" spans="3:10" ht="12.75">
      <c r="C34" s="160"/>
      <c r="D34" s="28" t="str">
        <f>$A$4</f>
        <v>CSE</v>
      </c>
      <c r="E34" s="95">
        <f>AVERAGE(C4:E4)</f>
        <v>0.22866666666666666</v>
      </c>
      <c r="F34" s="7">
        <f aca="true" t="shared" si="0" ref="F34:F40">(E34-$E$14)/$F$14</f>
        <v>26.68201880637977</v>
      </c>
      <c r="G34" s="7">
        <f>F34*8</f>
        <v>213.45615045103816</v>
      </c>
      <c r="H34" s="7">
        <f>'Alamar blue'!$R$6</f>
        <v>2567.6666666666665</v>
      </c>
      <c r="I34" s="7">
        <f aca="true" t="shared" si="1" ref="I34:I40">(H34/$H$33)*100</f>
        <v>89.01086202911948</v>
      </c>
      <c r="J34" s="8">
        <f aca="true" t="shared" si="2" ref="J34:J40">G34/I34*100</f>
        <v>239.80910372624749</v>
      </c>
    </row>
    <row r="35" spans="3:10" ht="12.75">
      <c r="C35" s="160"/>
      <c r="D35" s="28" t="str">
        <f>$A$5</f>
        <v>CSE+8-p</v>
      </c>
      <c r="E35" s="95">
        <f>AVERAGE(C5:E5)</f>
        <v>0.3073333333333334</v>
      </c>
      <c r="F35" s="7">
        <f t="shared" si="0"/>
        <v>43.938309995351446</v>
      </c>
      <c r="G35" s="7">
        <f>F35*8</f>
        <v>351.50647996281157</v>
      </c>
      <c r="H35" s="7">
        <f>'Alamar blue'!$R$7</f>
        <v>2448.6666666666665</v>
      </c>
      <c r="I35" s="7">
        <f t="shared" si="1"/>
        <v>84.88560203374162</v>
      </c>
      <c r="J35" s="8">
        <f t="shared" si="2"/>
        <v>414.0943476175022</v>
      </c>
    </row>
    <row r="36" spans="3:10" ht="13.5" thickBot="1">
      <c r="C36" s="161"/>
      <c r="D36" s="29" t="str">
        <f>$A$6</f>
        <v>CSE+Bnz</v>
      </c>
      <c r="E36" s="96">
        <f>AVERAGE(C6:E6)</f>
        <v>0.17366666666666666</v>
      </c>
      <c r="F36" s="9">
        <f t="shared" si="0"/>
        <v>14.617238949683488</v>
      </c>
      <c r="G36" s="9">
        <f>F36*8</f>
        <v>116.9379115974679</v>
      </c>
      <c r="H36" s="9">
        <f>'Alamar blue'!$R$8</f>
        <v>2629.6666666666665</v>
      </c>
      <c r="I36" s="9">
        <f t="shared" si="1"/>
        <v>91.16015715276173</v>
      </c>
      <c r="J36" s="10">
        <f t="shared" si="2"/>
        <v>128.27743528514225</v>
      </c>
    </row>
    <row r="37" spans="3:10" ht="12.75">
      <c r="C37" s="159" t="str">
        <f>F1</f>
        <v>HT31basal</v>
      </c>
      <c r="D37" s="39" t="str">
        <f>$A$7</f>
        <v>CTR</v>
      </c>
      <c r="E37" s="97">
        <f>AVERAGE(F3:H3)</f>
        <v>0.19800000000000004</v>
      </c>
      <c r="F37" s="40">
        <f t="shared" si="0"/>
        <v>19.95499003779761</v>
      </c>
      <c r="G37" s="40">
        <f>F37*2</f>
        <v>39.90998007559522</v>
      </c>
      <c r="H37" s="40">
        <f>'Alamar blue'!$R$9</f>
        <v>3032</v>
      </c>
      <c r="I37" s="40">
        <f t="shared" si="1"/>
        <v>105.10746475618211</v>
      </c>
      <c r="J37" s="41">
        <f t="shared" si="2"/>
        <v>37.970642873153146</v>
      </c>
    </row>
    <row r="38" spans="3:10" ht="12.75">
      <c r="C38" s="160"/>
      <c r="D38" s="30" t="str">
        <f>$A$8</f>
        <v>CSE</v>
      </c>
      <c r="E38" s="98">
        <f>AVERAGE(F4:H4)</f>
        <v>0.349</v>
      </c>
      <c r="F38" s="11">
        <f t="shared" si="0"/>
        <v>53.078294735272856</v>
      </c>
      <c r="G38" s="11">
        <f>F38*8</f>
        <v>424.62635788218284</v>
      </c>
      <c r="H38" s="11">
        <f>'Alamar blue'!$R$10</f>
        <v>2432.6666666666665</v>
      </c>
      <c r="I38" s="11">
        <f t="shared" si="1"/>
        <v>84.3309452276404</v>
      </c>
      <c r="J38" s="12">
        <f t="shared" si="2"/>
        <v>503.5237737890395</v>
      </c>
    </row>
    <row r="39" spans="3:10" ht="12.75">
      <c r="C39" s="160"/>
      <c r="D39" s="30" t="str">
        <f>$A$9</f>
        <v>CSE+8-p</v>
      </c>
      <c r="E39" s="98">
        <f>AVERAGE(F5:H5)</f>
        <v>0.3793333333333333</v>
      </c>
      <c r="F39" s="11">
        <f t="shared" si="0"/>
        <v>59.732203625935654</v>
      </c>
      <c r="G39" s="11">
        <f>F39*8</f>
        <v>477.85762900748523</v>
      </c>
      <c r="H39" s="11">
        <f>'Alamar blue'!$R$11</f>
        <v>2399.3333333333335</v>
      </c>
      <c r="I39" s="11">
        <f t="shared" si="1"/>
        <v>83.17541021492953</v>
      </c>
      <c r="J39" s="12">
        <f t="shared" si="2"/>
        <v>574.5179107294772</v>
      </c>
    </row>
    <row r="40" spans="3:10" ht="13.5" thickBot="1">
      <c r="C40" s="161"/>
      <c r="D40" s="31" t="str">
        <f>$A$10</f>
        <v>CSE+Bnz</v>
      </c>
      <c r="E40" s="99">
        <f>AVERAGE(F6:H6)</f>
        <v>0.15233333333333332</v>
      </c>
      <c r="F40" s="13">
        <f t="shared" si="0"/>
        <v>9.937566762843714</v>
      </c>
      <c r="G40" s="13">
        <f>F40*8</f>
        <v>79.50053410274971</v>
      </c>
      <c r="H40" s="13">
        <f>'Alamar blue'!$R$12</f>
        <v>2522.6666666666665</v>
      </c>
      <c r="I40" s="13">
        <f t="shared" si="1"/>
        <v>87.45088976195979</v>
      </c>
      <c r="J40" s="14">
        <f t="shared" si="2"/>
        <v>90.90877670787474</v>
      </c>
    </row>
    <row r="41" ht="12.75">
      <c r="F41" s="100"/>
    </row>
    <row r="42" ht="12.75">
      <c r="F42" s="100"/>
    </row>
    <row r="43" ht="13.5" thickBot="1">
      <c r="F43" s="100"/>
    </row>
    <row r="44" spans="4:28" ht="12.75">
      <c r="D44" s="118"/>
      <c r="E44" s="155" t="s">
        <v>75</v>
      </c>
      <c r="F44" s="156"/>
      <c r="G44" s="156"/>
      <c r="H44" s="156"/>
      <c r="I44" s="156"/>
      <c r="J44" s="157"/>
      <c r="K44" s="155" t="s">
        <v>80</v>
      </c>
      <c r="L44" s="156"/>
      <c r="M44" s="156"/>
      <c r="N44" s="156"/>
      <c r="O44" s="156"/>
      <c r="P44" s="157"/>
      <c r="Q44" s="158" t="s">
        <v>79</v>
      </c>
      <c r="R44" s="156"/>
      <c r="S44" s="156"/>
      <c r="T44" s="156"/>
      <c r="U44" s="156"/>
      <c r="V44" s="157"/>
      <c r="W44" s="158" t="s">
        <v>76</v>
      </c>
      <c r="X44" s="156"/>
      <c r="Y44" s="156"/>
      <c r="Z44" s="156"/>
      <c r="AA44" s="156"/>
      <c r="AB44" s="157"/>
    </row>
    <row r="45" spans="3:28" s="149" customFormat="1" ht="13.5" thickBot="1">
      <c r="C45" s="149" t="s">
        <v>73</v>
      </c>
      <c r="D45" s="119"/>
      <c r="E45" s="150">
        <v>0</v>
      </c>
      <c r="F45" s="151">
        <v>10</v>
      </c>
      <c r="G45" s="151">
        <v>20</v>
      </c>
      <c r="H45" s="151">
        <v>30</v>
      </c>
      <c r="I45" s="151">
        <v>40</v>
      </c>
      <c r="J45" s="152">
        <v>50</v>
      </c>
      <c r="K45" s="150">
        <v>0</v>
      </c>
      <c r="L45" s="151">
        <v>10</v>
      </c>
      <c r="M45" s="151">
        <v>20</v>
      </c>
      <c r="N45" s="151">
        <v>30</v>
      </c>
      <c r="O45" s="151">
        <v>40</v>
      </c>
      <c r="P45" s="152">
        <v>50</v>
      </c>
      <c r="Q45" s="153">
        <v>0</v>
      </c>
      <c r="R45" s="151">
        <v>10</v>
      </c>
      <c r="S45" s="151">
        <v>20</v>
      </c>
      <c r="T45" s="151">
        <v>30</v>
      </c>
      <c r="U45" s="151">
        <v>40</v>
      </c>
      <c r="V45" s="152">
        <v>50</v>
      </c>
      <c r="W45" s="153">
        <v>0</v>
      </c>
      <c r="X45" s="151">
        <v>10</v>
      </c>
      <c r="Y45" s="151">
        <v>20</v>
      </c>
      <c r="Z45" s="151">
        <v>30</v>
      </c>
      <c r="AA45" s="151">
        <v>40</v>
      </c>
      <c r="AB45" s="152">
        <v>50</v>
      </c>
    </row>
    <row r="46" spans="3:28" ht="13.5" thickTop="1">
      <c r="C46" s="165" t="s">
        <v>72</v>
      </c>
      <c r="D46" s="105" t="str">
        <f>$A$3</f>
        <v>CTR</v>
      </c>
      <c r="E46" s="131">
        <f aca="true" t="shared" si="3" ref="E46:J49">(I3-$E$14)/$F$14</f>
        <v>11.18060468747303</v>
      </c>
      <c r="F46" s="122">
        <f t="shared" si="3"/>
        <v>80.71760858879526</v>
      </c>
      <c r="G46" s="122">
        <f t="shared" si="3"/>
        <v>74.57553884356805</v>
      </c>
      <c r="H46" s="122">
        <f t="shared" si="3"/>
        <v>157.27412077037712</v>
      </c>
      <c r="I46" s="122">
        <f t="shared" si="3"/>
        <v>101.77613342957422</v>
      </c>
      <c r="J46" s="123">
        <f t="shared" si="3"/>
        <v>75.01425811108429</v>
      </c>
      <c r="K46" s="135">
        <f aca="true" t="shared" si="4" ref="K46:P46">E46*2</f>
        <v>22.36120937494606</v>
      </c>
      <c r="L46" s="124">
        <f t="shared" si="4"/>
        <v>161.43521717759052</v>
      </c>
      <c r="M46" s="124">
        <f t="shared" si="4"/>
        <v>149.1510776871361</v>
      </c>
      <c r="N46" s="124">
        <f t="shared" si="4"/>
        <v>314.54824154075425</v>
      </c>
      <c r="O46" s="124">
        <f t="shared" si="4"/>
        <v>203.55226685914843</v>
      </c>
      <c r="P46" s="144">
        <f t="shared" si="4"/>
        <v>150.02851622216858</v>
      </c>
      <c r="Q46" s="142">
        <f>'Alamar blue'!I14/'Alamar blue'!$I$14</f>
        <v>1</v>
      </c>
      <c r="R46" s="125">
        <f>'Alamar blue'!J14/'Alamar blue'!$I$14</f>
        <v>0.6404558404558405</v>
      </c>
      <c r="S46" s="125">
        <f>'Alamar blue'!K14/'Alamar blue'!$I$14</f>
        <v>0.4062678062678063</v>
      </c>
      <c r="T46" s="125">
        <f>'Alamar blue'!L14/'Alamar blue'!$I$14</f>
        <v>0.41054131054131054</v>
      </c>
      <c r="U46" s="125">
        <f>'Alamar blue'!M14/'Alamar blue'!$I$14</f>
        <v>0.28945868945868947</v>
      </c>
      <c r="V46" s="136">
        <f>'Alamar blue'!N14/'Alamar blue'!$I$14</f>
        <v>0.358974358974359</v>
      </c>
      <c r="W46" s="121">
        <f>(K46/Q46)</f>
        <v>22.36120937494606</v>
      </c>
      <c r="X46" s="122">
        <f aca="true" t="shared" si="5" ref="X46:AB49">(L46/R46)</f>
        <v>252.06299479241224</v>
      </c>
      <c r="Y46" s="122">
        <f t="shared" si="5"/>
        <v>367.1250229185468</v>
      </c>
      <c r="Z46" s="122">
        <f t="shared" si="5"/>
        <v>766.1792698182147</v>
      </c>
      <c r="AA46" s="122">
        <f t="shared" si="5"/>
        <v>703.21698491694</v>
      </c>
      <c r="AB46" s="123">
        <f t="shared" si="5"/>
        <v>417.93658090461247</v>
      </c>
    </row>
    <row r="47" spans="3:28" ht="12.75">
      <c r="C47" s="166"/>
      <c r="D47" s="101" t="str">
        <f>$A$4</f>
        <v>CSE</v>
      </c>
      <c r="E47" s="132">
        <f t="shared" si="3"/>
        <v>80.93696822255338</v>
      </c>
      <c r="F47" s="106">
        <f t="shared" si="3"/>
        <v>176.79712817484932</v>
      </c>
      <c r="G47" s="106">
        <f t="shared" si="3"/>
        <v>136.65431519711439</v>
      </c>
      <c r="H47" s="106">
        <f t="shared" si="3"/>
        <v>155.2998840665541</v>
      </c>
      <c r="I47" s="106">
        <f t="shared" si="3"/>
        <v>142.35766567482537</v>
      </c>
      <c r="J47" s="111">
        <f t="shared" si="3"/>
        <v>105.50524720346216</v>
      </c>
      <c r="K47" s="137">
        <f aca="true" t="shared" si="6" ref="K47:P49">E47*4</f>
        <v>323.7478728902135</v>
      </c>
      <c r="L47" s="107">
        <f t="shared" si="6"/>
        <v>707.1885126993973</v>
      </c>
      <c r="M47" s="107">
        <f t="shared" si="6"/>
        <v>546.6172607884575</v>
      </c>
      <c r="N47" s="107">
        <f t="shared" si="6"/>
        <v>621.1995362662165</v>
      </c>
      <c r="O47" s="107">
        <f t="shared" si="6"/>
        <v>569.4306626993015</v>
      </c>
      <c r="P47" s="145">
        <f t="shared" si="6"/>
        <v>422.02098881384865</v>
      </c>
      <c r="Q47" s="143">
        <f>'Alamar blue'!I15/'Alamar blue'!$I$14</f>
        <v>0.9623931623931624</v>
      </c>
      <c r="R47" s="108">
        <f>'Alamar blue'!J15/'Alamar blue'!$I$14</f>
        <v>0.42991452991452994</v>
      </c>
      <c r="S47" s="108">
        <f>'Alamar blue'!K15/'Alamar blue'!$I$14</f>
        <v>0.2535612535612536</v>
      </c>
      <c r="T47" s="108">
        <f>'Alamar blue'!L15/'Alamar blue'!$I$14</f>
        <v>0.22877492877492878</v>
      </c>
      <c r="U47" s="108">
        <f>'Alamar blue'!M15/'Alamar blue'!$I$14</f>
        <v>0.21139601139601139</v>
      </c>
      <c r="V47" s="138">
        <f>'Alamar blue'!N15/'Alamar blue'!$I$14</f>
        <v>0.2809116809116809</v>
      </c>
      <c r="W47" s="120">
        <f>(K47/Q47)</f>
        <v>336.3987666798844</v>
      </c>
      <c r="X47" s="106">
        <f t="shared" si="5"/>
        <v>1644.951411249095</v>
      </c>
      <c r="Y47" s="106">
        <f t="shared" si="5"/>
        <v>2155.760208278074</v>
      </c>
      <c r="Z47" s="106">
        <f t="shared" si="5"/>
        <v>2715.3304760827145</v>
      </c>
      <c r="AA47" s="106">
        <f t="shared" si="5"/>
        <v>2693.6679596692024</v>
      </c>
      <c r="AB47" s="111">
        <f t="shared" si="5"/>
        <v>1502.326238069583</v>
      </c>
    </row>
    <row r="48" spans="3:28" ht="12.75">
      <c r="C48" s="166"/>
      <c r="D48" s="101" t="str">
        <f>$A$5</f>
        <v>CSE+8-p</v>
      </c>
      <c r="E48" s="132">
        <f t="shared" si="3"/>
        <v>86.42095906650623</v>
      </c>
      <c r="F48" s="106">
        <f t="shared" si="3"/>
        <v>200.92668788824187</v>
      </c>
      <c r="G48" s="106">
        <f t="shared" si="3"/>
        <v>150.69333175763373</v>
      </c>
      <c r="H48" s="106">
        <f t="shared" si="3"/>
        <v>127.44121057927359</v>
      </c>
      <c r="I48" s="106">
        <f t="shared" si="3"/>
        <v>142.7963849423416</v>
      </c>
      <c r="J48" s="111">
        <f t="shared" si="3"/>
        <v>131.60904362067777</v>
      </c>
      <c r="K48" s="137">
        <f t="shared" si="6"/>
        <v>345.6838362660249</v>
      </c>
      <c r="L48" s="107">
        <f t="shared" si="6"/>
        <v>803.7067515529675</v>
      </c>
      <c r="M48" s="107">
        <f t="shared" si="6"/>
        <v>602.7733270305349</v>
      </c>
      <c r="N48" s="107">
        <f t="shared" si="6"/>
        <v>509.76484231709435</v>
      </c>
      <c r="O48" s="107">
        <f t="shared" si="6"/>
        <v>571.1855397693664</v>
      </c>
      <c r="P48" s="145">
        <f t="shared" si="6"/>
        <v>526.4361744827111</v>
      </c>
      <c r="Q48" s="143">
        <f>'Alamar blue'!I16/'Alamar blue'!$I$14</f>
        <v>1.0002849002849004</v>
      </c>
      <c r="R48" s="108">
        <f>'Alamar blue'!J16/'Alamar blue'!$I$14</f>
        <v>0.4603988603988604</v>
      </c>
      <c r="S48" s="108">
        <f>'Alamar blue'!K16/'Alamar blue'!$I$14</f>
        <v>0.2660968660968661</v>
      </c>
      <c r="T48" s="108">
        <f>'Alamar blue'!L16/'Alamar blue'!$I$14</f>
        <v>0.2396011396011396</v>
      </c>
      <c r="U48" s="108">
        <f>'Alamar blue'!M16/'Alamar blue'!$I$14</f>
        <v>0.2091168091168091</v>
      </c>
      <c r="V48" s="138">
        <f>'Alamar blue'!N16/'Alamar blue'!$I$14</f>
        <v>0.2931623931623932</v>
      </c>
      <c r="W48" s="120">
        <f>(K48/Q48)</f>
        <v>345.5853788931209</v>
      </c>
      <c r="X48" s="106">
        <f t="shared" si="5"/>
        <v>1745.6749368508142</v>
      </c>
      <c r="Y48" s="106">
        <f t="shared" si="5"/>
        <v>2265.240233273209</v>
      </c>
      <c r="Z48" s="106">
        <f t="shared" si="5"/>
        <v>2127.5560006337705</v>
      </c>
      <c r="AA48" s="106">
        <f t="shared" si="5"/>
        <v>2731.4185893603217</v>
      </c>
      <c r="AB48" s="111">
        <f t="shared" si="5"/>
        <v>1795.7152307427752</v>
      </c>
    </row>
    <row r="49" spans="3:28" ht="13.5" thickBot="1">
      <c r="C49" s="167"/>
      <c r="D49" s="101" t="str">
        <f>$A$6</f>
        <v>CSE+Bnz</v>
      </c>
      <c r="E49" s="132">
        <f t="shared" si="3"/>
        <v>16.006516630151545</v>
      </c>
      <c r="F49" s="106">
        <f t="shared" si="3"/>
        <v>21.271147840346284</v>
      </c>
      <c r="G49" s="106">
        <f t="shared" si="3"/>
        <v>6.574052378552634</v>
      </c>
      <c r="H49" s="106">
        <f t="shared" si="3"/>
        <v>14.032279926328519</v>
      </c>
      <c r="I49" s="106">
        <f t="shared" si="3"/>
        <v>20.393709305313834</v>
      </c>
      <c r="J49" s="111">
        <f t="shared" si="3"/>
        <v>9.864446884924345</v>
      </c>
      <c r="K49" s="146">
        <f t="shared" si="6"/>
        <v>64.02606652060618</v>
      </c>
      <c r="L49" s="147">
        <f t="shared" si="6"/>
        <v>85.08459136138514</v>
      </c>
      <c r="M49" s="147">
        <f t="shared" si="6"/>
        <v>26.296209514210535</v>
      </c>
      <c r="N49" s="147">
        <f t="shared" si="6"/>
        <v>56.129119705314075</v>
      </c>
      <c r="O49" s="147">
        <f t="shared" si="6"/>
        <v>81.57483722125534</v>
      </c>
      <c r="P49" s="148">
        <f t="shared" si="6"/>
        <v>39.45778753969738</v>
      </c>
      <c r="Q49" s="143">
        <f>'Alamar blue'!I17/'Alamar blue'!$I$14</f>
        <v>0.8843304843304843</v>
      </c>
      <c r="R49" s="108">
        <f>'Alamar blue'!J17/'Alamar blue'!$I$14</f>
        <v>0.5344729344729344</v>
      </c>
      <c r="S49" s="108">
        <f>'Alamar blue'!K17/'Alamar blue'!$I$14</f>
        <v>0.24415954415954416</v>
      </c>
      <c r="T49" s="108">
        <f>'Alamar blue'!L17/'Alamar blue'!$I$14</f>
        <v>0.2299145299145299</v>
      </c>
      <c r="U49" s="108">
        <f>'Alamar blue'!M17/'Alamar blue'!$I$14</f>
        <v>0.2396011396011396</v>
      </c>
      <c r="V49" s="138">
        <f>'Alamar blue'!N17/'Alamar blue'!$I$14</f>
        <v>0.21994301994301993</v>
      </c>
      <c r="W49" s="120">
        <f>(K49/Q49)</f>
        <v>72.40061001524732</v>
      </c>
      <c r="X49" s="106">
        <f t="shared" si="5"/>
        <v>159.19345185419076</v>
      </c>
      <c r="Y49" s="106">
        <f t="shared" si="5"/>
        <v>107.70092811537803</v>
      </c>
      <c r="Z49" s="106">
        <f t="shared" si="5"/>
        <v>244.1303719524813</v>
      </c>
      <c r="AA49" s="106">
        <f t="shared" si="5"/>
        <v>340.46097342045925</v>
      </c>
      <c r="AB49" s="111">
        <f t="shared" si="5"/>
        <v>179.40004438385725</v>
      </c>
    </row>
    <row r="50" spans="3:28" ht="12.75">
      <c r="C50" s="165" t="s">
        <v>74</v>
      </c>
      <c r="D50" s="129" t="str">
        <f>$A$7</f>
        <v>CTR</v>
      </c>
      <c r="E50" s="133">
        <f aca="true" t="shared" si="7" ref="E50:J50">E46/$H$46</f>
        <v>0.07108992015156074</v>
      </c>
      <c r="F50" s="109">
        <f t="shared" si="7"/>
        <v>0.5132288020013435</v>
      </c>
      <c r="G50" s="109">
        <f t="shared" si="7"/>
        <v>0.4741755253710787</v>
      </c>
      <c r="H50" s="109">
        <f t="shared" si="7"/>
        <v>1</v>
      </c>
      <c r="I50" s="109">
        <f t="shared" si="7"/>
        <v>0.6471257504479653</v>
      </c>
      <c r="J50" s="116">
        <f t="shared" si="7"/>
        <v>0.47696504513038335</v>
      </c>
      <c r="K50" s="139"/>
      <c r="L50" s="92"/>
      <c r="M50" s="92"/>
      <c r="N50" s="92"/>
      <c r="O50" s="92"/>
      <c r="P50" s="92"/>
      <c r="Q50" s="55"/>
      <c r="R50" s="55"/>
      <c r="S50" s="55"/>
      <c r="T50" s="55"/>
      <c r="U50" s="55"/>
      <c r="V50" s="2"/>
      <c r="W50" s="126">
        <f aca="true" t="shared" si="8" ref="W50:AB51">W46/$Z46</f>
        <v>0.029185348985298867</v>
      </c>
      <c r="X50" s="110">
        <f t="shared" si="8"/>
        <v>0.32898696783093234</v>
      </c>
      <c r="Y50" s="110">
        <f t="shared" si="8"/>
        <v>0.4791633464654449</v>
      </c>
      <c r="Z50" s="110">
        <f t="shared" si="8"/>
        <v>1</v>
      </c>
      <c r="AA50" s="110">
        <f t="shared" si="8"/>
        <v>0.9178230377908642</v>
      </c>
      <c r="AB50" s="112">
        <f t="shared" si="8"/>
        <v>0.5454814524070496</v>
      </c>
    </row>
    <row r="51" spans="3:28" ht="12.75">
      <c r="C51" s="166"/>
      <c r="D51" s="129" t="str">
        <f>$A$8</f>
        <v>CSE</v>
      </c>
      <c r="E51" s="133">
        <f aca="true" t="shared" si="9" ref="E51:J51">E47/$F$47</f>
        <v>0.457795717940102</v>
      </c>
      <c r="F51" s="109">
        <f t="shared" si="9"/>
        <v>1</v>
      </c>
      <c r="G51" s="109">
        <f t="shared" si="9"/>
        <v>0.7729442022495163</v>
      </c>
      <c r="H51" s="109">
        <f t="shared" si="9"/>
        <v>0.8784072777073912</v>
      </c>
      <c r="I51" s="109">
        <f t="shared" si="9"/>
        <v>0.805203495918984</v>
      </c>
      <c r="J51" s="116">
        <f t="shared" si="9"/>
        <v>0.5967588291316547</v>
      </c>
      <c r="K51" s="139"/>
      <c r="L51" s="92"/>
      <c r="M51" s="92"/>
      <c r="N51" s="92"/>
      <c r="O51" s="92"/>
      <c r="P51" s="92"/>
      <c r="Q51" s="55"/>
      <c r="R51" s="55"/>
      <c r="S51" s="55"/>
      <c r="T51" s="55"/>
      <c r="U51" s="55"/>
      <c r="V51" s="2"/>
      <c r="W51" s="126">
        <f t="shared" si="8"/>
        <v>0.12388870144645958</v>
      </c>
      <c r="X51" s="110">
        <f t="shared" si="8"/>
        <v>0.6058015500279703</v>
      </c>
      <c r="Y51" s="110">
        <f t="shared" si="8"/>
        <v>0.7939218549147258</v>
      </c>
      <c r="Z51" s="110">
        <f t="shared" si="8"/>
        <v>1</v>
      </c>
      <c r="AA51" s="110">
        <f t="shared" si="8"/>
        <v>0.9920221436748415</v>
      </c>
      <c r="AB51" s="112">
        <f t="shared" si="8"/>
        <v>0.5532756514547437</v>
      </c>
    </row>
    <row r="52" spans="3:28" ht="12.75">
      <c r="C52" s="166"/>
      <c r="D52" s="129" t="str">
        <f>$A$9</f>
        <v>CSE+8-p</v>
      </c>
      <c r="E52" s="133">
        <f aca="true" t="shared" si="10" ref="E52:J52">E48/$F$48</f>
        <v>0.4301118979006648</v>
      </c>
      <c r="F52" s="109">
        <f t="shared" si="10"/>
        <v>1</v>
      </c>
      <c r="G52" s="109">
        <f t="shared" si="10"/>
        <v>0.7499916180445446</v>
      </c>
      <c r="H52" s="109">
        <f t="shared" si="10"/>
        <v>0.6342672141699668</v>
      </c>
      <c r="I52" s="109">
        <f t="shared" si="10"/>
        <v>0.7106889903135559</v>
      </c>
      <c r="J52" s="116">
        <f t="shared" si="10"/>
        <v>0.6550102676946553</v>
      </c>
      <c r="K52" s="139"/>
      <c r="L52" s="92"/>
      <c r="M52" s="92"/>
      <c r="N52" s="92"/>
      <c r="O52" s="92"/>
      <c r="P52" s="92"/>
      <c r="Q52" s="55"/>
      <c r="R52" s="55"/>
      <c r="S52" s="55"/>
      <c r="T52" s="55"/>
      <c r="U52" s="55"/>
      <c r="V52" s="2"/>
      <c r="W52" s="126">
        <f aca="true" t="shared" si="11" ref="W52:AB53">W48/$AA48</f>
        <v>0.12652230611568566</v>
      </c>
      <c r="X52" s="110">
        <f t="shared" si="11"/>
        <v>0.6391092685869282</v>
      </c>
      <c r="Y52" s="110">
        <f t="shared" si="11"/>
        <v>0.8293273839817104</v>
      </c>
      <c r="Z52" s="110">
        <f t="shared" si="11"/>
        <v>0.7789197924189382</v>
      </c>
      <c r="AA52" s="110">
        <f t="shared" si="11"/>
        <v>1</v>
      </c>
      <c r="AB52" s="112">
        <f t="shared" si="11"/>
        <v>0.6574295268171689</v>
      </c>
    </row>
    <row r="53" spans="3:28" ht="13.5" thickBot="1">
      <c r="C53" s="167"/>
      <c r="D53" s="130" t="str">
        <f>$A$10</f>
        <v>CSE+Bnz</v>
      </c>
      <c r="E53" s="134">
        <f aca="true" t="shared" si="12" ref="E53:J53">E49/$F$49</f>
        <v>0.7524989601074094</v>
      </c>
      <c r="F53" s="113">
        <f t="shared" si="12"/>
        <v>1</v>
      </c>
      <c r="G53" s="113">
        <f t="shared" si="12"/>
        <v>0.3090595969665176</v>
      </c>
      <c r="H53" s="113">
        <f t="shared" si="12"/>
        <v>0.6596860701476879</v>
      </c>
      <c r="I53" s="113">
        <f t="shared" si="12"/>
        <v>0.9587498266845685</v>
      </c>
      <c r="J53" s="117">
        <f t="shared" si="12"/>
        <v>0.4637477468993867</v>
      </c>
      <c r="K53" s="140"/>
      <c r="L53" s="128"/>
      <c r="M53" s="128"/>
      <c r="N53" s="128"/>
      <c r="O53" s="128"/>
      <c r="P53" s="128"/>
      <c r="Q53" s="3"/>
      <c r="R53" s="3"/>
      <c r="S53" s="3"/>
      <c r="T53" s="3"/>
      <c r="U53" s="3"/>
      <c r="V53" s="141"/>
      <c r="W53" s="127">
        <f t="shared" si="11"/>
        <v>0.2126546525666973</v>
      </c>
      <c r="X53" s="114">
        <f t="shared" si="11"/>
        <v>0.46758208512078575</v>
      </c>
      <c r="Y53" s="114">
        <f t="shared" si="11"/>
        <v>0.3163385425159158</v>
      </c>
      <c r="Z53" s="114">
        <f t="shared" si="11"/>
        <v>0.7170583150832607</v>
      </c>
      <c r="AA53" s="114">
        <f t="shared" si="11"/>
        <v>1</v>
      </c>
      <c r="AB53" s="115">
        <f t="shared" si="11"/>
        <v>0.5269327717109693</v>
      </c>
    </row>
    <row r="55" ht="12.75">
      <c r="E55" t="s">
        <v>14</v>
      </c>
    </row>
    <row r="56" spans="3:6" ht="13.5" thickBot="1">
      <c r="C56" t="s">
        <v>21</v>
      </c>
      <c r="E56" s="15" t="s">
        <v>22</v>
      </c>
      <c r="F56" t="s">
        <v>23</v>
      </c>
    </row>
    <row r="57" spans="3:6" ht="12.75">
      <c r="C57" s="159" t="str">
        <f>$C$1</f>
        <v>S0</v>
      </c>
      <c r="D57" s="32" t="str">
        <f>$A$3</f>
        <v>CTR</v>
      </c>
      <c r="E57" s="25">
        <f aca="true" t="shared" si="13" ref="E57:E64">J33</f>
        <v>33.76791033036802</v>
      </c>
      <c r="F57" s="25" t="e">
        <f>STDEV(C7:E7)</f>
        <v>#DIV/0!</v>
      </c>
    </row>
    <row r="58" spans="3:6" ht="12.75">
      <c r="C58" s="160"/>
      <c r="D58" s="33" t="str">
        <f>$A$4</f>
        <v>CSE</v>
      </c>
      <c r="E58" s="24">
        <f t="shared" si="13"/>
        <v>239.80910372624749</v>
      </c>
      <c r="F58" s="24" t="e">
        <f>STDEV(C8:E8)</f>
        <v>#DIV/0!</v>
      </c>
    </row>
    <row r="59" spans="3:6" ht="12.75">
      <c r="C59" s="160"/>
      <c r="D59" s="33" t="str">
        <f>$A$5</f>
        <v>CSE+8-p</v>
      </c>
      <c r="E59" s="24">
        <f t="shared" si="13"/>
        <v>414.0943476175022</v>
      </c>
      <c r="F59" s="24" t="e">
        <f>STDEV(C9:E9)</f>
        <v>#DIV/0!</v>
      </c>
    </row>
    <row r="60" spans="3:6" ht="13.5" thickBot="1">
      <c r="C60" s="161"/>
      <c r="D60" s="34" t="str">
        <f>$A$6</f>
        <v>CSE+Bnz</v>
      </c>
      <c r="E60" s="26">
        <f t="shared" si="13"/>
        <v>128.27743528514225</v>
      </c>
      <c r="F60" s="26" t="e">
        <f>STDEV(C10:E10)</f>
        <v>#DIV/0!</v>
      </c>
    </row>
    <row r="61" spans="3:6" ht="12.75">
      <c r="C61" s="162" t="str">
        <f>$L$1</f>
        <v>HT31P D/E curve</v>
      </c>
      <c r="D61" s="42" t="str">
        <f>$A$7</f>
        <v>CTR</v>
      </c>
      <c r="E61" s="43">
        <f t="shared" si="13"/>
        <v>37.970642873153146</v>
      </c>
      <c r="F61" s="43" t="e">
        <f>STDEV(F7:H7)</f>
        <v>#DIV/0!</v>
      </c>
    </row>
    <row r="62" spans="3:6" ht="12.75">
      <c r="C62" s="163"/>
      <c r="D62" s="35" t="str">
        <f>$A$8</f>
        <v>CSE</v>
      </c>
      <c r="E62" s="36">
        <f t="shared" si="13"/>
        <v>503.5237737890395</v>
      </c>
      <c r="F62" s="43" t="e">
        <f>STDEV(F8:H8)</f>
        <v>#DIV/0!</v>
      </c>
    </row>
    <row r="63" spans="3:6" ht="12.75">
      <c r="C63" s="163"/>
      <c r="D63" s="35" t="str">
        <f>$A$9</f>
        <v>CSE+8-p</v>
      </c>
      <c r="E63" s="36">
        <f t="shared" si="13"/>
        <v>574.5179107294772</v>
      </c>
      <c r="F63" s="43" t="e">
        <f>STDEV(F9:H9)</f>
        <v>#DIV/0!</v>
      </c>
    </row>
    <row r="64" spans="3:6" ht="13.5" thickBot="1">
      <c r="C64" s="164"/>
      <c r="D64" s="37" t="str">
        <f>$A$10</f>
        <v>CSE+Bnz</v>
      </c>
      <c r="E64" s="38">
        <f t="shared" si="13"/>
        <v>90.90877670787474</v>
      </c>
      <c r="F64" s="43" t="e">
        <f>STDEV(F10:H10)</f>
        <v>#DIV/0!</v>
      </c>
    </row>
  </sheetData>
  <mergeCells count="15">
    <mergeCell ref="O7:P10"/>
    <mergeCell ref="C1:E1"/>
    <mergeCell ref="F1:H1"/>
    <mergeCell ref="I1:K1"/>
    <mergeCell ref="L1:N1"/>
    <mergeCell ref="C33:C36"/>
    <mergeCell ref="C37:C40"/>
    <mergeCell ref="C57:C60"/>
    <mergeCell ref="C61:C64"/>
    <mergeCell ref="C46:C49"/>
    <mergeCell ref="C50:C53"/>
    <mergeCell ref="E44:J44"/>
    <mergeCell ref="Q44:V44"/>
    <mergeCell ref="W44:AB44"/>
    <mergeCell ref="K44:P44"/>
  </mergeCells>
  <printOptions/>
  <pageMargins left="0.75" right="0.75" top="1" bottom="1" header="0.5" footer="0.5"/>
  <pageSetup horizontalDpi="600" verticalDpi="600" orientation="portrait" paperSize="9" scale="3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67" zoomScaleNormal="67" workbookViewId="0" topLeftCell="A1">
      <selection activeCell="U43" sqref="U43"/>
    </sheetView>
  </sheetViews>
  <sheetFormatPr defaultColWidth="9.140625" defaultRowHeight="12.75"/>
  <cols>
    <col min="1" max="1" width="13.8515625" style="0" customWidth="1"/>
    <col min="2" max="2" width="6.7109375" style="0" bestFit="1" customWidth="1"/>
    <col min="3" max="3" width="4.28125" style="0" bestFit="1" customWidth="1"/>
    <col min="4" max="4" width="4.8515625" style="0" bestFit="1" customWidth="1"/>
    <col min="5" max="5" width="12.57421875" style="0" bestFit="1" customWidth="1"/>
    <col min="6" max="6" width="17.8515625" style="0" bestFit="1" customWidth="1"/>
    <col min="8" max="8" width="12.7109375" style="0" bestFit="1" customWidth="1"/>
    <col min="9" max="14" width="9.421875" style="0" bestFit="1" customWidth="1"/>
    <col min="18" max="18" width="9.421875" style="0" bestFit="1" customWidth="1"/>
  </cols>
  <sheetData>
    <row r="1" spans="1:14" ht="13.5" thickBot="1">
      <c r="A1" s="16" t="s">
        <v>24</v>
      </c>
      <c r="B1" s="16" t="s">
        <v>25</v>
      </c>
      <c r="C1" s="16" t="s">
        <v>26</v>
      </c>
      <c r="D1" s="16" t="s">
        <v>27</v>
      </c>
      <c r="E1" s="17" t="s">
        <v>28</v>
      </c>
      <c r="F1" s="18" t="s">
        <v>29</v>
      </c>
      <c r="H1" s="20" t="s">
        <v>77</v>
      </c>
      <c r="I1" s="86">
        <v>0</v>
      </c>
      <c r="J1" s="86">
        <v>10</v>
      </c>
      <c r="K1" s="87">
        <v>20</v>
      </c>
      <c r="L1" s="86">
        <v>30</v>
      </c>
      <c r="M1" s="86">
        <v>40</v>
      </c>
      <c r="N1" s="87">
        <v>50</v>
      </c>
    </row>
    <row r="2" spans="1:14" ht="14.25" thickBot="1" thickTop="1">
      <c r="A2" t="s">
        <v>42</v>
      </c>
      <c r="B2">
        <v>1</v>
      </c>
      <c r="C2" t="s">
        <v>43</v>
      </c>
      <c r="D2" t="s">
        <v>44</v>
      </c>
      <c r="E2" s="19">
        <v>0.0001744212962962963</v>
      </c>
      <c r="F2" s="73">
        <v>3510</v>
      </c>
      <c r="H2" s="21" t="str">
        <f>Calculation!$A$3</f>
        <v>CTR</v>
      </c>
      <c r="I2" s="59">
        <f>F2</f>
        <v>3510</v>
      </c>
      <c r="J2" s="60">
        <f>F3</f>
        <v>2248</v>
      </c>
      <c r="K2" s="61">
        <f>F4</f>
        <v>1426</v>
      </c>
      <c r="L2" s="59">
        <f>F5</f>
        <v>1441</v>
      </c>
      <c r="M2" s="60">
        <f>F6</f>
        <v>1016</v>
      </c>
      <c r="N2" s="61">
        <f>F7</f>
        <v>1260</v>
      </c>
    </row>
    <row r="3" spans="1:14" ht="13.5" thickBot="1">
      <c r="A3" s="154">
        <v>40234</v>
      </c>
      <c r="B3">
        <v>1</v>
      </c>
      <c r="C3" t="s">
        <v>45</v>
      </c>
      <c r="D3" t="s">
        <v>44</v>
      </c>
      <c r="E3" s="19">
        <v>0.0001909722222222222</v>
      </c>
      <c r="F3" s="73">
        <v>2248</v>
      </c>
      <c r="H3" s="22" t="str">
        <f>Calculation!$A$4</f>
        <v>CSE</v>
      </c>
      <c r="I3" s="62">
        <f>F8</f>
        <v>3378</v>
      </c>
      <c r="J3" s="63">
        <f>F9</f>
        <v>1509</v>
      </c>
      <c r="K3" s="64">
        <f>F10</f>
        <v>890</v>
      </c>
      <c r="L3" s="62">
        <f>F11</f>
        <v>803</v>
      </c>
      <c r="M3" s="63">
        <f>F12</f>
        <v>742</v>
      </c>
      <c r="N3" s="64">
        <f>F13</f>
        <v>986</v>
      </c>
    </row>
    <row r="4" spans="1:19" ht="13.5" thickBot="1">
      <c r="A4">
        <v>1</v>
      </c>
      <c r="B4">
        <v>1</v>
      </c>
      <c r="C4" t="s">
        <v>46</v>
      </c>
      <c r="D4" t="s">
        <v>44</v>
      </c>
      <c r="E4" s="19">
        <v>0.0002076388888888889</v>
      </c>
      <c r="F4" s="73">
        <v>1426</v>
      </c>
      <c r="H4" s="22" t="str">
        <f>Calculation!$A$5</f>
        <v>CSE+8-p</v>
      </c>
      <c r="I4" s="59">
        <f>F14</f>
        <v>3511</v>
      </c>
      <c r="J4" s="63">
        <f>F15</f>
        <v>1616</v>
      </c>
      <c r="K4" s="64">
        <f>F16</f>
        <v>934</v>
      </c>
      <c r="L4" s="62">
        <f>F17</f>
        <v>841</v>
      </c>
      <c r="M4" s="63">
        <f>F18</f>
        <v>734</v>
      </c>
      <c r="N4" s="64">
        <f>F19</f>
        <v>1029</v>
      </c>
      <c r="R4" t="s">
        <v>21</v>
      </c>
      <c r="S4" t="s">
        <v>84</v>
      </c>
    </row>
    <row r="5" spans="1:19" ht="13.5" thickBot="1">
      <c r="A5">
        <v>1</v>
      </c>
      <c r="B5">
        <v>1</v>
      </c>
      <c r="C5" t="s">
        <v>47</v>
      </c>
      <c r="D5" t="s">
        <v>44</v>
      </c>
      <c r="E5" s="19">
        <v>0.0002244212962962963</v>
      </c>
      <c r="F5" s="73">
        <v>1441</v>
      </c>
      <c r="H5" s="21" t="str">
        <f>Calculation!$A$6</f>
        <v>CSE+Bnz</v>
      </c>
      <c r="I5" s="62">
        <f>F20</f>
        <v>3104</v>
      </c>
      <c r="J5" s="60">
        <f>F21</f>
        <v>1876</v>
      </c>
      <c r="K5" s="61">
        <f>F22</f>
        <v>857</v>
      </c>
      <c r="L5" s="59">
        <f>F23</f>
        <v>807</v>
      </c>
      <c r="M5" s="60">
        <f>F24</f>
        <v>841</v>
      </c>
      <c r="N5" s="61">
        <f>F25</f>
        <v>772</v>
      </c>
      <c r="P5" s="174" t="str">
        <f>Calculation!$C$1</f>
        <v>S0</v>
      </c>
      <c r="Q5" s="32" t="str">
        <f>Calculation!$D$57</f>
        <v>CTR</v>
      </c>
      <c r="R5" s="23">
        <f>AVERAGE(I8:K8)</f>
        <v>2884.6666666666665</v>
      </c>
      <c r="S5" s="182">
        <f>R5/R5</f>
        <v>1</v>
      </c>
    </row>
    <row r="6" spans="1:19" ht="13.5" thickBot="1">
      <c r="A6">
        <v>1</v>
      </c>
      <c r="B6">
        <v>1</v>
      </c>
      <c r="C6" t="s">
        <v>48</v>
      </c>
      <c r="D6" t="s">
        <v>44</v>
      </c>
      <c r="E6" s="19">
        <v>0.00024108796296296297</v>
      </c>
      <c r="F6" s="73">
        <v>1016</v>
      </c>
      <c r="P6" s="175"/>
      <c r="Q6" s="33" t="str">
        <f>Calculation!$D$58</f>
        <v>CSE</v>
      </c>
      <c r="R6" s="23">
        <f>AVERAGE(I9:K9)</f>
        <v>2567.6666666666665</v>
      </c>
      <c r="S6" s="182">
        <f>R6/R6</f>
        <v>1</v>
      </c>
    </row>
    <row r="7" spans="1:19" ht="13.5" thickBot="1">
      <c r="A7">
        <v>1</v>
      </c>
      <c r="B7">
        <v>1</v>
      </c>
      <c r="C7" t="s">
        <v>49</v>
      </c>
      <c r="D7" t="s">
        <v>44</v>
      </c>
      <c r="E7" s="19">
        <v>0.0002578703703703704</v>
      </c>
      <c r="F7" s="73">
        <v>1260</v>
      </c>
      <c r="H7" s="20" t="s">
        <v>78</v>
      </c>
      <c r="I7" s="180" t="str">
        <f>Calculation!C1</f>
        <v>S0</v>
      </c>
      <c r="J7" s="180"/>
      <c r="K7" s="181"/>
      <c r="L7" s="180" t="str">
        <f>Calculation!F1</f>
        <v>HT31basal</v>
      </c>
      <c r="M7" s="180"/>
      <c r="N7" s="181"/>
      <c r="P7" s="175"/>
      <c r="Q7" s="33" t="str">
        <f>Calculation!$D$59</f>
        <v>CSE+8-p</v>
      </c>
      <c r="R7" s="23">
        <f>AVERAGE(I10:K10)</f>
        <v>2448.6666666666665</v>
      </c>
      <c r="S7" s="182">
        <f>R7/R7</f>
        <v>1</v>
      </c>
    </row>
    <row r="8" spans="1:19" ht="14.25" thickBot="1" thickTop="1">
      <c r="A8">
        <v>1</v>
      </c>
      <c r="B8">
        <v>1</v>
      </c>
      <c r="C8" t="s">
        <v>50</v>
      </c>
      <c r="D8" t="s">
        <v>44</v>
      </c>
      <c r="E8" s="19">
        <v>0.0003034722222222222</v>
      </c>
      <c r="F8" s="73">
        <v>3378</v>
      </c>
      <c r="H8" s="21" t="str">
        <f>Calculation!$A$3</f>
        <v>CTR</v>
      </c>
      <c r="I8" s="65">
        <f>F28</f>
        <v>3274</v>
      </c>
      <c r="J8" s="66">
        <f>F29</f>
        <v>2812</v>
      </c>
      <c r="K8" s="67">
        <f>F30</f>
        <v>2568</v>
      </c>
      <c r="L8" s="65">
        <f>F31</f>
        <v>3189</v>
      </c>
      <c r="M8" s="66">
        <f>F32</f>
        <v>2947</v>
      </c>
      <c r="N8" s="67">
        <f>F33</f>
        <v>2960</v>
      </c>
      <c r="P8" s="176"/>
      <c r="Q8" s="34" t="str">
        <f>Calculation!$D$60</f>
        <v>CSE+Bnz</v>
      </c>
      <c r="R8" s="23">
        <f>AVERAGE(I11:K11)</f>
        <v>2629.6666666666665</v>
      </c>
      <c r="S8" s="182">
        <f>R8/R8</f>
        <v>1</v>
      </c>
    </row>
    <row r="9" spans="1:19" ht="13.5" thickBot="1">
      <c r="A9">
        <v>1</v>
      </c>
      <c r="B9">
        <v>1</v>
      </c>
      <c r="C9" t="s">
        <v>51</v>
      </c>
      <c r="D9" t="s">
        <v>44</v>
      </c>
      <c r="E9" s="19">
        <v>0.00032013888888888885</v>
      </c>
      <c r="F9" s="73">
        <v>1509</v>
      </c>
      <c r="H9" s="22" t="str">
        <f>Calculation!$A$4</f>
        <v>CSE</v>
      </c>
      <c r="I9" s="68">
        <f>F34</f>
        <v>2998</v>
      </c>
      <c r="J9" s="69">
        <f>F35</f>
        <v>2708</v>
      </c>
      <c r="K9" s="70">
        <f>F36</f>
        <v>1997</v>
      </c>
      <c r="L9" s="68">
        <f>F37</f>
        <v>1842</v>
      </c>
      <c r="M9" s="69">
        <f>F38</f>
        <v>2466</v>
      </c>
      <c r="N9" s="70">
        <f>F39</f>
        <v>2990</v>
      </c>
      <c r="P9" s="177" t="str">
        <f>Calculation!$L$1</f>
        <v>HT31P D/E curve</v>
      </c>
      <c r="Q9" s="71" t="str">
        <f>Calculation!$D$61</f>
        <v>CTR</v>
      </c>
      <c r="R9" s="72">
        <f>AVERAGE(L8:N8)</f>
        <v>3032</v>
      </c>
      <c r="S9" s="182">
        <f>R9/R5</f>
        <v>1.0510746475618211</v>
      </c>
    </row>
    <row r="10" spans="1:19" ht="13.5" thickBot="1">
      <c r="A10">
        <v>1</v>
      </c>
      <c r="B10">
        <v>1</v>
      </c>
      <c r="C10" t="s">
        <v>52</v>
      </c>
      <c r="D10" t="s">
        <v>44</v>
      </c>
      <c r="E10" s="19">
        <v>0.00033692129629629626</v>
      </c>
      <c r="F10" s="73">
        <v>890</v>
      </c>
      <c r="H10" s="22" t="str">
        <f>Calculation!$A$5</f>
        <v>CSE+8-p</v>
      </c>
      <c r="I10" s="68">
        <f>F40</f>
        <v>2771</v>
      </c>
      <c r="J10" s="69">
        <f>F41</f>
        <v>2245</v>
      </c>
      <c r="K10" s="70">
        <f>F42</f>
        <v>2330</v>
      </c>
      <c r="L10" s="68">
        <f>F43</f>
        <v>1986</v>
      </c>
      <c r="M10" s="69">
        <f>F44</f>
        <v>2351</v>
      </c>
      <c r="N10" s="70">
        <f>F45</f>
        <v>2861</v>
      </c>
      <c r="P10" s="178"/>
      <c r="Q10" s="35" t="str">
        <f>Calculation!$D$62</f>
        <v>CSE</v>
      </c>
      <c r="R10" s="72">
        <f>AVERAGE(L9:N9)</f>
        <v>2432.6666666666665</v>
      </c>
      <c r="S10" s="182">
        <f>R10/R6</f>
        <v>0.9474230819161366</v>
      </c>
    </row>
    <row r="11" spans="1:19" ht="13.5" thickBot="1">
      <c r="A11">
        <v>1</v>
      </c>
      <c r="B11">
        <v>1</v>
      </c>
      <c r="C11" t="s">
        <v>53</v>
      </c>
      <c r="D11" t="s">
        <v>44</v>
      </c>
      <c r="E11" s="19">
        <v>0.00035358796296296294</v>
      </c>
      <c r="F11" s="73">
        <v>803</v>
      </c>
      <c r="H11" s="21" t="str">
        <f>Calculation!$A$6</f>
        <v>CSE+Bnz</v>
      </c>
      <c r="I11" s="65">
        <f>F46</f>
        <v>2882</v>
      </c>
      <c r="J11" s="66">
        <f>F47</f>
        <v>2533</v>
      </c>
      <c r="K11" s="67">
        <f>F48</f>
        <v>2474</v>
      </c>
      <c r="L11" s="65">
        <f>F49</f>
        <v>2226</v>
      </c>
      <c r="M11" s="66">
        <f>F50</f>
        <v>2150</v>
      </c>
      <c r="N11" s="67">
        <f>F51</f>
        <v>3192</v>
      </c>
      <c r="P11" s="178"/>
      <c r="Q11" s="35" t="str">
        <f>Calculation!$D$63</f>
        <v>CSE+8-p</v>
      </c>
      <c r="R11" s="72">
        <f>AVERAGE(L10:N10)</f>
        <v>2399.3333333333335</v>
      </c>
      <c r="S11" s="182">
        <f>R11/R7</f>
        <v>0.9798529812142663</v>
      </c>
    </row>
    <row r="12" spans="1:19" ht="13.5" thickBot="1">
      <c r="A12">
        <v>1</v>
      </c>
      <c r="B12">
        <v>1</v>
      </c>
      <c r="C12" t="s">
        <v>54</v>
      </c>
      <c r="D12" t="s">
        <v>44</v>
      </c>
      <c r="E12" s="19">
        <v>0.00037037037037037035</v>
      </c>
      <c r="F12" s="73">
        <v>742</v>
      </c>
      <c r="P12" s="179"/>
      <c r="Q12" s="37" t="str">
        <f>Calculation!$D$64</f>
        <v>CSE+Bnz</v>
      </c>
      <c r="R12" s="72">
        <f>AVERAGE(L11:N11)</f>
        <v>2522.6666666666665</v>
      </c>
      <c r="S12" s="182">
        <f>R12/R8</f>
        <v>0.9593104322474332</v>
      </c>
    </row>
    <row r="13" spans="1:14" ht="13.5" thickBot="1">
      <c r="A13">
        <v>1</v>
      </c>
      <c r="B13">
        <v>1</v>
      </c>
      <c r="C13" t="s">
        <v>55</v>
      </c>
      <c r="D13" t="s">
        <v>44</v>
      </c>
      <c r="E13" s="19">
        <v>0.00038703703703703697</v>
      </c>
      <c r="F13" s="73">
        <v>986</v>
      </c>
      <c r="H13" s="20" t="s">
        <v>81</v>
      </c>
      <c r="I13" s="86">
        <v>0</v>
      </c>
      <c r="J13" s="86">
        <v>10</v>
      </c>
      <c r="K13" s="87">
        <v>20</v>
      </c>
      <c r="L13" s="86">
        <v>30</v>
      </c>
      <c r="M13" s="86">
        <v>40</v>
      </c>
      <c r="N13" s="87">
        <v>50</v>
      </c>
    </row>
    <row r="14" spans="1:14" ht="14.25" thickBot="1" thickTop="1">
      <c r="A14">
        <v>1</v>
      </c>
      <c r="B14">
        <v>1</v>
      </c>
      <c r="C14" t="s">
        <v>56</v>
      </c>
      <c r="D14" t="s">
        <v>44</v>
      </c>
      <c r="E14" s="19">
        <v>0.0004327546296296296</v>
      </c>
      <c r="F14" s="73">
        <v>3511</v>
      </c>
      <c r="H14" s="21" t="str">
        <f>Calculation!$A$3</f>
        <v>CTR</v>
      </c>
      <c r="I14" s="93">
        <f aca="true" t="shared" si="0" ref="I14:N14">I2/$I$2</f>
        <v>1</v>
      </c>
      <c r="J14" s="93">
        <f t="shared" si="0"/>
        <v>0.6404558404558405</v>
      </c>
      <c r="K14" s="93">
        <f t="shared" si="0"/>
        <v>0.4062678062678063</v>
      </c>
      <c r="L14" s="93">
        <f t="shared" si="0"/>
        <v>0.41054131054131054</v>
      </c>
      <c r="M14" s="93">
        <f t="shared" si="0"/>
        <v>0.28945868945868947</v>
      </c>
      <c r="N14" s="93">
        <f t="shared" si="0"/>
        <v>0.358974358974359</v>
      </c>
    </row>
    <row r="15" spans="1:14" ht="13.5" thickBot="1">
      <c r="A15">
        <v>1</v>
      </c>
      <c r="B15">
        <v>1</v>
      </c>
      <c r="C15" t="s">
        <v>57</v>
      </c>
      <c r="D15" t="s">
        <v>44</v>
      </c>
      <c r="E15" s="19">
        <v>0.00044942129629629623</v>
      </c>
      <c r="F15" s="73">
        <v>1616</v>
      </c>
      <c r="H15" s="22" t="str">
        <f>Calculation!$A$4</f>
        <v>CSE</v>
      </c>
      <c r="I15" s="93">
        <f>I3/$I$2</f>
        <v>0.9623931623931624</v>
      </c>
      <c r="J15" s="93">
        <f aca="true" t="shared" si="1" ref="I15:N17">J3/$I$2</f>
        <v>0.42991452991452994</v>
      </c>
      <c r="K15" s="93">
        <f t="shared" si="1"/>
        <v>0.2535612535612536</v>
      </c>
      <c r="L15" s="93">
        <f t="shared" si="1"/>
        <v>0.22877492877492878</v>
      </c>
      <c r="M15" s="93">
        <f t="shared" si="1"/>
        <v>0.21139601139601139</v>
      </c>
      <c r="N15" s="93">
        <f t="shared" si="1"/>
        <v>0.2809116809116809</v>
      </c>
    </row>
    <row r="16" spans="1:14" ht="13.5" thickBot="1">
      <c r="A16">
        <v>1</v>
      </c>
      <c r="B16">
        <v>1</v>
      </c>
      <c r="C16" t="s">
        <v>58</v>
      </c>
      <c r="D16" t="s">
        <v>44</v>
      </c>
      <c r="E16" s="19">
        <v>0.0004662037037037037</v>
      </c>
      <c r="F16" s="73">
        <v>934</v>
      </c>
      <c r="H16" s="22" t="str">
        <f>Calculation!$A$5</f>
        <v>CSE+8-p</v>
      </c>
      <c r="I16" s="93">
        <f t="shared" si="1"/>
        <v>1.0002849002849004</v>
      </c>
      <c r="J16" s="93">
        <f t="shared" si="1"/>
        <v>0.4603988603988604</v>
      </c>
      <c r="K16" s="93">
        <f t="shared" si="1"/>
        <v>0.2660968660968661</v>
      </c>
      <c r="L16" s="93">
        <f t="shared" si="1"/>
        <v>0.2396011396011396</v>
      </c>
      <c r="M16" s="93">
        <f t="shared" si="1"/>
        <v>0.2091168091168091</v>
      </c>
      <c r="N16" s="93">
        <f t="shared" si="1"/>
        <v>0.2931623931623932</v>
      </c>
    </row>
    <row r="17" spans="1:14" ht="13.5" thickBot="1">
      <c r="A17">
        <v>1</v>
      </c>
      <c r="B17">
        <v>1</v>
      </c>
      <c r="C17" t="s">
        <v>59</v>
      </c>
      <c r="D17" t="s">
        <v>44</v>
      </c>
      <c r="E17" s="19">
        <v>0.0004828703703703703</v>
      </c>
      <c r="F17" s="73">
        <v>841</v>
      </c>
      <c r="H17" s="21" t="str">
        <f>Calculation!$A$6</f>
        <v>CSE+Bnz</v>
      </c>
      <c r="I17" s="93">
        <f t="shared" si="1"/>
        <v>0.8843304843304843</v>
      </c>
      <c r="J17" s="93">
        <f t="shared" si="1"/>
        <v>0.5344729344729344</v>
      </c>
      <c r="K17" s="93">
        <f t="shared" si="1"/>
        <v>0.24415954415954416</v>
      </c>
      <c r="L17" s="93">
        <f t="shared" si="1"/>
        <v>0.2299145299145299</v>
      </c>
      <c r="M17" s="93">
        <f t="shared" si="1"/>
        <v>0.2396011396011396</v>
      </c>
      <c r="N17" s="93">
        <f t="shared" si="1"/>
        <v>0.21994301994301993</v>
      </c>
    </row>
    <row r="18" spans="1:6" ht="12.75">
      <c r="A18">
        <v>1</v>
      </c>
      <c r="B18">
        <v>1</v>
      </c>
      <c r="C18" t="s">
        <v>60</v>
      </c>
      <c r="D18" t="s">
        <v>44</v>
      </c>
      <c r="E18" s="19">
        <v>0.000499537037037037</v>
      </c>
      <c r="F18" s="73">
        <v>734</v>
      </c>
    </row>
    <row r="19" spans="1:6" ht="12.75">
      <c r="A19">
        <v>1</v>
      </c>
      <c r="B19">
        <v>1</v>
      </c>
      <c r="C19" t="s">
        <v>61</v>
      </c>
      <c r="D19" t="s">
        <v>44</v>
      </c>
      <c r="E19" s="19">
        <v>0.0005163194444444445</v>
      </c>
      <c r="F19" s="73">
        <v>1029</v>
      </c>
    </row>
    <row r="20" spans="1:6" ht="12.75">
      <c r="A20">
        <v>1</v>
      </c>
      <c r="B20">
        <v>1</v>
      </c>
      <c r="C20" t="s">
        <v>62</v>
      </c>
      <c r="D20" t="s">
        <v>44</v>
      </c>
      <c r="E20" s="19">
        <v>0.000562037037037037</v>
      </c>
      <c r="F20" s="73">
        <v>3104</v>
      </c>
    </row>
    <row r="21" spans="1:6" ht="12.75">
      <c r="A21">
        <v>1</v>
      </c>
      <c r="B21">
        <v>1</v>
      </c>
      <c r="C21" t="s">
        <v>63</v>
      </c>
      <c r="D21" t="s">
        <v>44</v>
      </c>
      <c r="E21" s="19">
        <v>0.0005787037037037037</v>
      </c>
      <c r="F21" s="73">
        <v>1876</v>
      </c>
    </row>
    <row r="22" spans="1:6" ht="12.75">
      <c r="A22">
        <v>1</v>
      </c>
      <c r="B22">
        <v>1</v>
      </c>
      <c r="C22" t="s">
        <v>64</v>
      </c>
      <c r="D22" t="s">
        <v>44</v>
      </c>
      <c r="E22" s="19">
        <v>0.0005953703703703703</v>
      </c>
      <c r="F22" s="73">
        <v>857</v>
      </c>
    </row>
    <row r="23" spans="1:6" ht="12.75">
      <c r="A23">
        <v>1</v>
      </c>
      <c r="B23">
        <v>1</v>
      </c>
      <c r="C23" t="s">
        <v>65</v>
      </c>
      <c r="D23" t="s">
        <v>44</v>
      </c>
      <c r="E23" s="19">
        <v>0.0006121527777777778</v>
      </c>
      <c r="F23" s="73">
        <v>807</v>
      </c>
    </row>
    <row r="24" spans="1:6" ht="12.75">
      <c r="A24">
        <v>1</v>
      </c>
      <c r="B24">
        <v>1</v>
      </c>
      <c r="C24" t="s">
        <v>66</v>
      </c>
      <c r="D24" t="s">
        <v>44</v>
      </c>
      <c r="E24" s="19">
        <v>0.0006288194444444444</v>
      </c>
      <c r="F24" s="73">
        <v>841</v>
      </c>
    </row>
    <row r="25" spans="1:6" ht="12.75">
      <c r="A25">
        <v>1</v>
      </c>
      <c r="B25">
        <v>1</v>
      </c>
      <c r="C25" t="s">
        <v>67</v>
      </c>
      <c r="D25" t="s">
        <v>44</v>
      </c>
      <c r="E25" s="19">
        <v>0.0006456018518518518</v>
      </c>
      <c r="F25" s="73">
        <v>772</v>
      </c>
    </row>
    <row r="27" spans="1:6" ht="12.75">
      <c r="A27" s="16" t="s">
        <v>24</v>
      </c>
      <c r="B27" s="16" t="s">
        <v>25</v>
      </c>
      <c r="C27" s="16" t="s">
        <v>26</v>
      </c>
      <c r="D27" s="16" t="s">
        <v>27</v>
      </c>
      <c r="E27" s="17" t="s">
        <v>28</v>
      </c>
      <c r="F27" s="18" t="s">
        <v>29</v>
      </c>
    </row>
    <row r="28" spans="1:6" ht="12.75">
      <c r="A28" t="s">
        <v>68</v>
      </c>
      <c r="B28">
        <v>1</v>
      </c>
      <c r="C28" t="s">
        <v>43</v>
      </c>
      <c r="D28" t="s">
        <v>44</v>
      </c>
      <c r="E28" s="19">
        <v>0.00017430555555555556</v>
      </c>
      <c r="F28" s="73">
        <v>3274</v>
      </c>
    </row>
    <row r="29" spans="1:6" ht="12.75">
      <c r="A29">
        <v>1</v>
      </c>
      <c r="B29">
        <v>1</v>
      </c>
      <c r="C29" t="s">
        <v>45</v>
      </c>
      <c r="D29" t="s">
        <v>44</v>
      </c>
      <c r="E29" s="19">
        <v>0.0001908564814814815</v>
      </c>
      <c r="F29" s="73">
        <v>2812</v>
      </c>
    </row>
    <row r="30" spans="1:6" ht="12.75">
      <c r="A30">
        <v>1</v>
      </c>
      <c r="B30">
        <v>1</v>
      </c>
      <c r="C30" t="s">
        <v>46</v>
      </c>
      <c r="D30" t="s">
        <v>44</v>
      </c>
      <c r="E30" s="19">
        <v>0.00020752314814814814</v>
      </c>
      <c r="F30" s="73">
        <v>2568</v>
      </c>
    </row>
    <row r="31" spans="1:6" ht="12.75">
      <c r="A31">
        <v>1</v>
      </c>
      <c r="B31">
        <v>1</v>
      </c>
      <c r="C31" t="s">
        <v>47</v>
      </c>
      <c r="D31" t="s">
        <v>44</v>
      </c>
      <c r="E31" s="19">
        <v>0.00022430555555555553</v>
      </c>
      <c r="F31" s="73">
        <v>3189</v>
      </c>
    </row>
    <row r="32" spans="1:6" ht="12.75">
      <c r="A32">
        <v>1</v>
      </c>
      <c r="B32">
        <v>1</v>
      </c>
      <c r="C32" t="s">
        <v>48</v>
      </c>
      <c r="D32" t="s">
        <v>44</v>
      </c>
      <c r="E32" s="19">
        <v>0.0002409722222222222</v>
      </c>
      <c r="F32" s="73">
        <v>2947</v>
      </c>
    </row>
    <row r="33" spans="1:6" ht="12.75">
      <c r="A33">
        <v>1</v>
      </c>
      <c r="B33">
        <v>1</v>
      </c>
      <c r="C33" t="s">
        <v>49</v>
      </c>
      <c r="D33" t="s">
        <v>44</v>
      </c>
      <c r="E33" s="19">
        <v>0.0002577546296296296</v>
      </c>
      <c r="F33" s="73">
        <v>2960</v>
      </c>
    </row>
    <row r="34" spans="1:6" ht="12.75">
      <c r="A34">
        <v>1</v>
      </c>
      <c r="B34">
        <v>1</v>
      </c>
      <c r="C34" t="s">
        <v>50</v>
      </c>
      <c r="D34" t="s">
        <v>44</v>
      </c>
      <c r="E34" s="19">
        <v>0.0003033564814814815</v>
      </c>
      <c r="F34" s="73">
        <v>2998</v>
      </c>
    </row>
    <row r="35" spans="1:6" ht="12.75">
      <c r="A35">
        <v>1</v>
      </c>
      <c r="B35">
        <v>1</v>
      </c>
      <c r="C35" t="s">
        <v>51</v>
      </c>
      <c r="D35" t="s">
        <v>44</v>
      </c>
      <c r="E35" s="19">
        <v>0.00032013888888888885</v>
      </c>
      <c r="F35" s="73">
        <v>2708</v>
      </c>
    </row>
    <row r="36" spans="1:6" ht="12.75">
      <c r="A36">
        <v>1</v>
      </c>
      <c r="B36">
        <v>1</v>
      </c>
      <c r="C36" t="s">
        <v>52</v>
      </c>
      <c r="D36" t="s">
        <v>44</v>
      </c>
      <c r="E36" s="19">
        <v>0.0003368055555555556</v>
      </c>
      <c r="F36" s="73">
        <v>1997</v>
      </c>
    </row>
    <row r="37" spans="1:6" ht="12.75">
      <c r="A37">
        <v>1</v>
      </c>
      <c r="B37">
        <v>1</v>
      </c>
      <c r="C37" t="s">
        <v>53</v>
      </c>
      <c r="D37" t="s">
        <v>44</v>
      </c>
      <c r="E37" s="19">
        <v>0.00035358796296296294</v>
      </c>
      <c r="F37" s="73">
        <v>1842</v>
      </c>
    </row>
    <row r="38" spans="1:6" ht="12.75">
      <c r="A38">
        <v>1</v>
      </c>
      <c r="B38">
        <v>1</v>
      </c>
      <c r="C38" t="s">
        <v>54</v>
      </c>
      <c r="D38" t="s">
        <v>44</v>
      </c>
      <c r="E38" s="19">
        <v>0.0003702546296296296</v>
      </c>
      <c r="F38" s="73">
        <v>2466</v>
      </c>
    </row>
    <row r="39" spans="1:6" ht="12.75">
      <c r="A39">
        <v>1</v>
      </c>
      <c r="B39">
        <v>1</v>
      </c>
      <c r="C39" t="s">
        <v>55</v>
      </c>
      <c r="D39" t="s">
        <v>44</v>
      </c>
      <c r="E39" s="19">
        <v>0.00038703703703703697</v>
      </c>
      <c r="F39" s="73">
        <v>2990</v>
      </c>
    </row>
    <row r="40" spans="1:6" ht="12.75">
      <c r="A40">
        <v>1</v>
      </c>
      <c r="B40">
        <v>1</v>
      </c>
      <c r="C40" t="s">
        <v>56</v>
      </c>
      <c r="D40" t="s">
        <v>44</v>
      </c>
      <c r="E40" s="19">
        <v>0.0004326388888888889</v>
      </c>
      <c r="F40" s="73">
        <v>2771</v>
      </c>
    </row>
    <row r="41" spans="1:6" ht="12.75">
      <c r="A41">
        <v>1</v>
      </c>
      <c r="B41">
        <v>1</v>
      </c>
      <c r="C41" t="s">
        <v>57</v>
      </c>
      <c r="D41" t="s">
        <v>44</v>
      </c>
      <c r="E41" s="19">
        <v>0.00044930555555555555</v>
      </c>
      <c r="F41" s="73">
        <v>2245</v>
      </c>
    </row>
    <row r="42" spans="1:6" ht="12.75">
      <c r="A42">
        <v>1</v>
      </c>
      <c r="B42">
        <v>1</v>
      </c>
      <c r="C42" t="s">
        <v>58</v>
      </c>
      <c r="D42" t="s">
        <v>44</v>
      </c>
      <c r="E42" s="19">
        <v>0.00046608796296296296</v>
      </c>
      <c r="F42" s="73">
        <v>2330</v>
      </c>
    </row>
    <row r="43" spans="1:6" ht="12.75">
      <c r="A43">
        <v>1</v>
      </c>
      <c r="B43">
        <v>1</v>
      </c>
      <c r="C43" t="s">
        <v>59</v>
      </c>
      <c r="D43" t="s">
        <v>44</v>
      </c>
      <c r="E43" s="19">
        <v>0.00048275462962962964</v>
      </c>
      <c r="F43" s="73">
        <v>1986</v>
      </c>
    </row>
    <row r="44" spans="1:6" ht="12.75">
      <c r="A44">
        <v>1</v>
      </c>
      <c r="B44">
        <v>1</v>
      </c>
      <c r="C44" t="s">
        <v>60</v>
      </c>
      <c r="D44" t="s">
        <v>44</v>
      </c>
      <c r="E44" s="19">
        <v>0.000499537037037037</v>
      </c>
      <c r="F44" s="73">
        <v>2351</v>
      </c>
    </row>
    <row r="45" spans="1:6" ht="12.75">
      <c r="A45">
        <v>1</v>
      </c>
      <c r="B45">
        <v>1</v>
      </c>
      <c r="C45" t="s">
        <v>61</v>
      </c>
      <c r="D45" t="s">
        <v>44</v>
      </c>
      <c r="E45" s="19">
        <v>0.0005162037037037037</v>
      </c>
      <c r="F45" s="73">
        <v>2861</v>
      </c>
    </row>
    <row r="46" spans="1:6" ht="12.75">
      <c r="A46">
        <v>1</v>
      </c>
      <c r="B46">
        <v>1</v>
      </c>
      <c r="C46" t="s">
        <v>62</v>
      </c>
      <c r="D46" t="s">
        <v>44</v>
      </c>
      <c r="E46" s="19">
        <v>0.0005619212962962964</v>
      </c>
      <c r="F46" s="73">
        <v>2882</v>
      </c>
    </row>
    <row r="47" spans="1:6" ht="12.75">
      <c r="A47">
        <v>1</v>
      </c>
      <c r="B47">
        <v>1</v>
      </c>
      <c r="C47" t="s">
        <v>63</v>
      </c>
      <c r="D47" t="s">
        <v>44</v>
      </c>
      <c r="E47" s="19">
        <v>0.0005785879629629629</v>
      </c>
      <c r="F47" s="73">
        <v>2533</v>
      </c>
    </row>
    <row r="48" spans="1:6" ht="12.75">
      <c r="A48">
        <v>1</v>
      </c>
      <c r="B48">
        <v>1</v>
      </c>
      <c r="C48" t="s">
        <v>64</v>
      </c>
      <c r="D48" t="s">
        <v>44</v>
      </c>
      <c r="E48" s="19">
        <v>0.0005953703703703703</v>
      </c>
      <c r="F48" s="73">
        <v>2474</v>
      </c>
    </row>
    <row r="49" spans="1:6" ht="12.75">
      <c r="A49">
        <v>1</v>
      </c>
      <c r="B49">
        <v>1</v>
      </c>
      <c r="C49" t="s">
        <v>65</v>
      </c>
      <c r="D49" t="s">
        <v>44</v>
      </c>
      <c r="E49" s="19">
        <v>0.000612037037037037</v>
      </c>
      <c r="F49" s="73">
        <v>2226</v>
      </c>
    </row>
    <row r="50" spans="1:6" ht="12.75">
      <c r="A50">
        <v>1</v>
      </c>
      <c r="B50">
        <v>1</v>
      </c>
      <c r="C50" t="s">
        <v>66</v>
      </c>
      <c r="D50" t="s">
        <v>44</v>
      </c>
      <c r="E50" s="19">
        <v>0.0006287037037037037</v>
      </c>
      <c r="F50" s="73">
        <v>2150</v>
      </c>
    </row>
    <row r="51" spans="1:6" ht="12.75">
      <c r="A51">
        <v>1</v>
      </c>
      <c r="B51">
        <v>1</v>
      </c>
      <c r="C51" t="s">
        <v>67</v>
      </c>
      <c r="D51" t="s">
        <v>44</v>
      </c>
      <c r="E51" s="19">
        <v>0.0006454861111111111</v>
      </c>
      <c r="F51" s="73">
        <v>3192</v>
      </c>
    </row>
  </sheetData>
  <mergeCells count="4">
    <mergeCell ref="P5:P8"/>
    <mergeCell ref="P9:P12"/>
    <mergeCell ref="I7:K7"/>
    <mergeCell ref="L7:N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Groningen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ELISA WORKSHEET</dc:title>
  <dc:subject>IL-8 concentrations</dc:subject>
  <dc:creator>Wilfred J. Poppinga</dc:creator>
  <cp:keywords/>
  <dc:description>Standard sheet that only requires the addition of values obtained from ELISA and Viability staining (for correction).</dc:description>
  <cp:lastModifiedBy> Wilfred Poppinga</cp:lastModifiedBy>
  <cp:lastPrinted>2010-03-02T18:47:57Z</cp:lastPrinted>
  <dcterms:created xsi:type="dcterms:W3CDTF">2010-02-18T16:16:22Z</dcterms:created>
  <dcterms:modified xsi:type="dcterms:W3CDTF">2010-03-12T20:42:58Z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fdeling">
    <vt:lpwstr>Molecular Pharmacology</vt:lpwstr>
  </property>
  <property fmtid="{D5CDD505-2E9C-101B-9397-08002B2CF9AE}" pid="3" name="Datum voltooid">
    <vt:lpwstr>23-02-2010</vt:lpwstr>
  </property>
  <property fmtid="{D5CDD505-2E9C-101B-9397-08002B2CF9AE}" pid="4" name="Eigenaar">
    <vt:lpwstr>Wilfred J. Poppinga</vt:lpwstr>
  </property>
</Properties>
</file>